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PROJ-FILES\SOMAH00\Reporting\Semi-Annual Expense Report\2026-07\"/>
    </mc:Choice>
  </mc:AlternateContent>
  <xr:revisionPtr revIDLastSave="0" documentId="13_ncr:1_{C2DBA09D-E31B-4004-BEB1-45FDED9D5B31}" xr6:coauthVersionLast="47" xr6:coauthVersionMax="47" xr10:uidLastSave="{00000000-0000-0000-0000-000000000000}"/>
  <bookViews>
    <workbookView xWindow="-120" yWindow="-120" windowWidth="29040" windowHeight="15720" tabRatio="744" xr2:uid="{00000000-000D-0000-FFFF-FFFF00000000}"/>
  </bookViews>
  <sheets>
    <sheet name="1. Expenditures" sheetId="1" r:id="rId1"/>
    <sheet name="2. Program Funding" sheetId="22" r:id="rId2"/>
    <sheet name="3. SOMAH Program Admin" sheetId="18" r:id="rId3"/>
    <sheet name="4. SOMAH Marketing &amp; Outreach" sheetId="7" r:id="rId4"/>
    <sheet name="5. SOMAH Workforce Development" sheetId="11" r:id="rId5"/>
    <sheet name="6. SOMAH Technical Assistance" sheetId="13" r:id="rId6"/>
    <sheet name="7. Incentive Payments" sheetId="21" r:id="rId7"/>
    <sheet name="8. IOU Collections Details" sheetId="25" r:id="rId8"/>
  </sheets>
  <externalReferences>
    <externalReference r:id="rId9"/>
  </externalReferences>
  <definedNames>
    <definedName name="TotalAdminBudget" localSheetId="1">'2. Program Funding'!$N$29</definedName>
    <definedName name="TotalAdminBudget">#REF!</definedName>
    <definedName name="TotalIncentiveBudget" localSheetId="1">'2. Program Funding'!$N$30</definedName>
    <definedName name="TotalIncentiveBudget">#REF!</definedName>
    <definedName name="Z_9D8689BD_5DE1_44EE_AD85_AABB805F8C74_.wvu.Cols" localSheetId="0" hidden="1">'1. Expenditures'!#REF!</definedName>
    <definedName name="Z_9D8689BD_5DE1_44EE_AD85_AABB805F8C74_.wvu.Cols" localSheetId="1" hidden="1">'2. Program Funding'!#REF!</definedName>
  </definedNames>
  <calcPr calcId="191028"/>
  <customWorkbookViews>
    <customWorkbookView name="Sarah Smith - Personal View" guid="{9D8689BD-5DE1-44EE-AD85-AABB805F8C74}" mergeInterval="0" personalView="1" maximized="1" windowWidth="1916" windowHeight="855" tabRatio="790" activeSheetId="2"/>
    <customWorkbookView name="Katrina Morton - Personal View" guid="{524D39D6-D9FA-43B9-A02A-7383F59753BD}" mergeInterval="0" personalView="1" maximized="1" windowWidth="1916" windowHeight="769" tabRatio="790"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 i="1" l="1"/>
  <c r="AB17" i="21" l="1"/>
  <c r="AB28" i="21" l="1"/>
  <c r="C20" i="11"/>
  <c r="C21" i="11"/>
  <c r="C22" i="11"/>
  <c r="C23" i="11"/>
  <c r="C24" i="11"/>
  <c r="C25" i="11"/>
  <c r="C19" i="11"/>
  <c r="C13" i="11"/>
  <c r="C12" i="11"/>
  <c r="C11" i="11"/>
  <c r="C10" i="11"/>
  <c r="C8" i="11"/>
  <c r="C7" i="11"/>
  <c r="E134" i="25" l="1"/>
  <c r="E133" i="25"/>
  <c r="E129" i="25"/>
  <c r="E95" i="25"/>
  <c r="E68" i="25"/>
  <c r="E41" i="25"/>
  <c r="M33" i="22"/>
  <c r="M32" i="22"/>
  <c r="M31" i="22"/>
  <c r="M30" i="22"/>
  <c r="M29" i="22"/>
  <c r="M23" i="22"/>
  <c r="M22" i="22"/>
  <c r="M21" i="22"/>
  <c r="M20" i="22"/>
  <c r="M19" i="22"/>
  <c r="N30" i="22" l="1"/>
  <c r="N31" i="22"/>
  <c r="N33" i="22"/>
  <c r="N29" i="22"/>
  <c r="N20" i="22"/>
  <c r="N21" i="22"/>
  <c r="N23" i="22"/>
  <c r="N19" i="22"/>
  <c r="N8" i="22"/>
  <c r="N9" i="22"/>
  <c r="N10" i="22"/>
  <c r="N11" i="22"/>
  <c r="N7" i="22"/>
  <c r="M12" i="22"/>
  <c r="M34" i="22"/>
  <c r="M24" i="22"/>
  <c r="A3" i="25" l="1"/>
  <c r="A2" i="25"/>
  <c r="E8" i="25"/>
  <c r="E9" i="25"/>
  <c r="E10" i="25"/>
  <c r="E11" i="25"/>
  <c r="E12" i="25"/>
  <c r="E13" i="25"/>
  <c r="E16" i="25"/>
  <c r="E17" i="25"/>
  <c r="E21" i="25"/>
  <c r="E26" i="25"/>
  <c r="E31" i="25"/>
  <c r="E36" i="25"/>
  <c r="E51" i="25"/>
  <c r="E52" i="25"/>
  <c r="E53" i="25"/>
  <c r="E54" i="25"/>
  <c r="E56" i="25"/>
  <c r="E57" i="25"/>
  <c r="E58" i="25"/>
  <c r="E60" i="25"/>
  <c r="E62" i="25"/>
  <c r="E64" i="25"/>
  <c r="E66" i="25"/>
  <c r="E77" i="25"/>
  <c r="E78" i="25"/>
  <c r="E79" i="25"/>
  <c r="E80" i="25"/>
  <c r="E81" i="25"/>
  <c r="E82" i="25"/>
  <c r="E84" i="25"/>
  <c r="C88" i="25"/>
  <c r="E87" i="25" s="1"/>
  <c r="E89" i="25"/>
  <c r="E91" i="25"/>
  <c r="E93" i="25"/>
  <c r="E105" i="25"/>
  <c r="E106" i="25"/>
  <c r="E107" i="25"/>
  <c r="E108" i="25"/>
  <c r="E109" i="25"/>
  <c r="E110" i="25"/>
  <c r="E112" i="25"/>
  <c r="E116" i="25"/>
  <c r="E121" i="25"/>
  <c r="E125" i="25"/>
  <c r="E141" i="25"/>
  <c r="E142" i="25"/>
  <c r="E143" i="25"/>
  <c r="E144" i="25"/>
  <c r="E145" i="25"/>
  <c r="E146" i="25"/>
  <c r="E148" i="25"/>
  <c r="E149" i="25"/>
  <c r="E151" i="25"/>
  <c r="E153" i="25"/>
  <c r="E97" i="25" l="1"/>
  <c r="E70" i="25"/>
  <c r="E44" i="25"/>
  <c r="E155" i="25"/>
  <c r="W17" i="21" l="1"/>
  <c r="I12" i="22"/>
  <c r="J12" i="22"/>
  <c r="K12" i="22"/>
  <c r="L12" i="22"/>
  <c r="C12" i="22"/>
  <c r="D12" i="22"/>
  <c r="E12" i="22"/>
  <c r="F12" i="22"/>
  <c r="G12" i="22"/>
  <c r="H12" i="22"/>
  <c r="B12" i="22"/>
  <c r="Q33" i="7" l="1"/>
  <c r="J34" i="7"/>
  <c r="K34" i="7"/>
  <c r="L34" i="7"/>
  <c r="M34" i="7"/>
  <c r="N34" i="7"/>
  <c r="O34" i="7"/>
  <c r="P34" i="7"/>
  <c r="C34" i="7"/>
  <c r="I34" i="7" l="1"/>
  <c r="R12" i="1" l="1"/>
  <c r="H34" i="7" l="1"/>
  <c r="BC26" i="21"/>
  <c r="BC8" i="21"/>
  <c r="BC9" i="21"/>
  <c r="BC10" i="21"/>
  <c r="BC11" i="21"/>
  <c r="BC12" i="21"/>
  <c r="BC13" i="21"/>
  <c r="BC14" i="21"/>
  <c r="BC15" i="21"/>
  <c r="BC16" i="21"/>
  <c r="BC7" i="21"/>
  <c r="AU28" i="21"/>
  <c r="AV28" i="21"/>
  <c r="AW28" i="21"/>
  <c r="AX28" i="21"/>
  <c r="AY28" i="21"/>
  <c r="AZ28" i="21"/>
  <c r="BA28" i="21"/>
  <c r="BB28" i="21"/>
  <c r="AU17" i="21"/>
  <c r="AV17" i="21"/>
  <c r="AW17" i="21"/>
  <c r="AX17" i="21"/>
  <c r="AY17" i="21"/>
  <c r="AZ17" i="21"/>
  <c r="BA17" i="21"/>
  <c r="BB17" i="21"/>
  <c r="Q9" i="1"/>
  <c r="P8" i="1"/>
  <c r="P14" i="1"/>
  <c r="Q14" i="1"/>
  <c r="P11" i="13"/>
  <c r="P10" i="1" s="1"/>
  <c r="Q11" i="13"/>
  <c r="Q10" i="1" s="1"/>
  <c r="O26" i="11"/>
  <c r="P9" i="1" s="1"/>
  <c r="P26" i="11"/>
  <c r="Q8" i="1"/>
  <c r="O34" i="18"/>
  <c r="P7" i="1" s="1"/>
  <c r="P34" i="18"/>
  <c r="Q7" i="1" s="1"/>
  <c r="Q11" i="1" l="1"/>
  <c r="Q15" i="1" s="1"/>
  <c r="BC23" i="21"/>
  <c r="BC24" i="21"/>
  <c r="BC25" i="21"/>
  <c r="BC27" i="21"/>
  <c r="P11" i="1"/>
  <c r="P15" i="1" s="1"/>
  <c r="G34" i="7" l="1"/>
  <c r="AR17" i="21" l="1"/>
  <c r="AS17" i="21"/>
  <c r="AT17" i="21"/>
  <c r="AQ17" i="21"/>
  <c r="AN17" i="21"/>
  <c r="AO17" i="21"/>
  <c r="AP17" i="21"/>
  <c r="AM17" i="21"/>
  <c r="AJ17" i="21"/>
  <c r="AK17" i="21"/>
  <c r="AL17" i="21"/>
  <c r="AI17" i="21"/>
  <c r="AF17" i="21"/>
  <c r="AG17" i="21"/>
  <c r="AH17" i="21"/>
  <c r="AE17" i="21"/>
  <c r="AC17" i="21"/>
  <c r="AD17" i="21"/>
  <c r="AA17" i="21"/>
  <c r="X17" i="21"/>
  <c r="Y17" i="21"/>
  <c r="Z17" i="21"/>
  <c r="T17" i="21" l="1"/>
  <c r="U17" i="21"/>
  <c r="V17" i="21"/>
  <c r="S17" i="21"/>
  <c r="P17" i="21"/>
  <c r="Q17" i="21"/>
  <c r="R17" i="21"/>
  <c r="O17" i="21"/>
  <c r="M17" i="21"/>
  <c r="N17" i="21"/>
  <c r="H17" i="21"/>
  <c r="G17" i="21"/>
  <c r="F17" i="21"/>
  <c r="C17" i="21"/>
  <c r="D17" i="21"/>
  <c r="E17" i="21"/>
  <c r="B17" i="21"/>
  <c r="F34" i="7" l="1"/>
  <c r="L17" i="21" l="1"/>
  <c r="K17" i="21"/>
  <c r="I10" i="21" l="1"/>
  <c r="J10" i="21" l="1"/>
  <c r="J9" i="21"/>
  <c r="J17" i="21" s="1"/>
  <c r="I9" i="21"/>
  <c r="I8" i="21"/>
  <c r="I17" i="21" s="1"/>
  <c r="Q21" i="18" l="1"/>
  <c r="Q19" i="11"/>
  <c r="R8" i="13"/>
  <c r="E34" i="7" l="1"/>
  <c r="A3" i="22" l="1"/>
  <c r="A2" i="22"/>
  <c r="A2" i="18"/>
  <c r="L33" i="22" l="1"/>
  <c r="K33" i="22"/>
  <c r="J33" i="22"/>
  <c r="I33" i="22"/>
  <c r="H33" i="22"/>
  <c r="G33" i="22"/>
  <c r="F33" i="22"/>
  <c r="E33" i="22"/>
  <c r="D33" i="22"/>
  <c r="C33" i="22"/>
  <c r="B33" i="22"/>
  <c r="L32" i="22"/>
  <c r="N32" i="22" s="1"/>
  <c r="K32" i="22"/>
  <c r="J32" i="22"/>
  <c r="I32" i="22"/>
  <c r="H32" i="22"/>
  <c r="G32" i="22"/>
  <c r="F32" i="22"/>
  <c r="E32" i="22"/>
  <c r="D32" i="22"/>
  <c r="C32" i="22"/>
  <c r="B32" i="22"/>
  <c r="L31" i="22"/>
  <c r="K31" i="22"/>
  <c r="J31" i="22"/>
  <c r="I31" i="22"/>
  <c r="H31" i="22"/>
  <c r="G31" i="22"/>
  <c r="F31" i="22"/>
  <c r="E31" i="22"/>
  <c r="D31" i="22"/>
  <c r="C31" i="22"/>
  <c r="B31" i="22"/>
  <c r="L30" i="22"/>
  <c r="K30" i="22"/>
  <c r="J30" i="22"/>
  <c r="I30" i="22"/>
  <c r="H30" i="22"/>
  <c r="G30" i="22"/>
  <c r="F30" i="22"/>
  <c r="E30" i="22"/>
  <c r="D30" i="22"/>
  <c r="C30" i="22"/>
  <c r="B30" i="22"/>
  <c r="L29" i="22"/>
  <c r="K29" i="22"/>
  <c r="J29" i="22"/>
  <c r="I29" i="22"/>
  <c r="H29" i="22"/>
  <c r="G29" i="22"/>
  <c r="F29" i="22"/>
  <c r="E29" i="22"/>
  <c r="D29" i="22"/>
  <c r="C29" i="22"/>
  <c r="B29" i="22"/>
  <c r="L23" i="22"/>
  <c r="K23" i="22"/>
  <c r="J23" i="22"/>
  <c r="I23" i="22"/>
  <c r="H23" i="22"/>
  <c r="G23" i="22"/>
  <c r="F23" i="22"/>
  <c r="E23" i="22"/>
  <c r="D23" i="22"/>
  <c r="C23" i="22"/>
  <c r="B23" i="22"/>
  <c r="L22" i="22"/>
  <c r="N22" i="22" s="1"/>
  <c r="K22" i="22"/>
  <c r="J22" i="22"/>
  <c r="I22" i="22"/>
  <c r="H22" i="22"/>
  <c r="G22" i="22"/>
  <c r="F22" i="22"/>
  <c r="E22" i="22"/>
  <c r="D22" i="22"/>
  <c r="C22" i="22"/>
  <c r="B22" i="22"/>
  <c r="L21" i="22"/>
  <c r="K21" i="22"/>
  <c r="J21" i="22"/>
  <c r="I21" i="22"/>
  <c r="H21" i="22"/>
  <c r="G21" i="22"/>
  <c r="F21" i="22"/>
  <c r="E21" i="22"/>
  <c r="D21" i="22"/>
  <c r="C21" i="22"/>
  <c r="B21" i="22"/>
  <c r="L20" i="22"/>
  <c r="K20" i="22"/>
  <c r="J20" i="22"/>
  <c r="I20" i="22"/>
  <c r="H20" i="22"/>
  <c r="G20" i="22"/>
  <c r="F20" i="22"/>
  <c r="E20" i="22"/>
  <c r="D20" i="22"/>
  <c r="C20" i="22"/>
  <c r="B20" i="22"/>
  <c r="L19" i="22"/>
  <c r="K19" i="22"/>
  <c r="J19" i="22"/>
  <c r="I19" i="22"/>
  <c r="H19" i="22"/>
  <c r="H24" i="22" s="1"/>
  <c r="G19" i="22"/>
  <c r="F19" i="22"/>
  <c r="E19" i="22"/>
  <c r="D19" i="22"/>
  <c r="C19" i="22"/>
  <c r="B19" i="22"/>
  <c r="E34" i="22" l="1"/>
  <c r="L24" i="22"/>
  <c r="D24" i="22"/>
  <c r="I34" i="22"/>
  <c r="E24" i="22"/>
  <c r="I24" i="22"/>
  <c r="F34" i="22"/>
  <c r="N12" i="22"/>
  <c r="B24" i="22"/>
  <c r="F24" i="22"/>
  <c r="J24" i="22"/>
  <c r="C34" i="22"/>
  <c r="G34" i="22"/>
  <c r="K34" i="22"/>
  <c r="B34" i="22"/>
  <c r="J34" i="22"/>
  <c r="G24" i="22"/>
  <c r="K24" i="22"/>
  <c r="D34" i="22"/>
  <c r="H34" i="22"/>
  <c r="L34" i="22"/>
  <c r="C24" i="22"/>
  <c r="N24" i="22" l="1"/>
  <c r="N34" i="22"/>
  <c r="R10" i="13" l="1"/>
  <c r="R9" i="13"/>
  <c r="R7" i="13"/>
  <c r="Q25" i="11"/>
  <c r="Q24" i="11"/>
  <c r="Q23" i="11"/>
  <c r="Q22" i="11"/>
  <c r="Q21" i="11"/>
  <c r="Q20" i="11"/>
  <c r="Q33" i="18"/>
  <c r="Q32" i="18"/>
  <c r="Q31" i="18"/>
  <c r="Q30" i="18"/>
  <c r="Q29" i="18"/>
  <c r="Q28" i="18"/>
  <c r="Q27" i="18"/>
  <c r="Q26" i="18"/>
  <c r="Q25" i="18"/>
  <c r="Q24" i="18"/>
  <c r="Q23" i="18"/>
  <c r="Q22" i="18"/>
  <c r="D34" i="7" l="1"/>
  <c r="A2" i="21"/>
  <c r="Q32" i="7" l="1"/>
  <c r="Q31" i="7"/>
  <c r="Q28" i="7"/>
  <c r="Q29" i="7"/>
  <c r="Q30" i="7"/>
  <c r="Q27" i="7"/>
  <c r="Q26" i="7"/>
  <c r="Q25" i="7"/>
  <c r="Q24" i="7"/>
  <c r="Q23" i="7"/>
  <c r="Q22" i="7"/>
  <c r="Q21" i="7"/>
  <c r="Q20" i="7"/>
  <c r="D34" i="18" l="1"/>
  <c r="E34" i="18"/>
  <c r="F34" i="18"/>
  <c r="G34" i="18"/>
  <c r="H34" i="18"/>
  <c r="I34" i="18"/>
  <c r="J34" i="18"/>
  <c r="K34" i="18"/>
  <c r="L34" i="18"/>
  <c r="M34" i="18"/>
  <c r="N34" i="18"/>
  <c r="C34" i="18"/>
  <c r="D14" i="1" l="1"/>
  <c r="D14" i="11" l="1"/>
  <c r="D16" i="18" l="1"/>
  <c r="D7" i="1" l="1"/>
  <c r="C14" i="11"/>
  <c r="C9" i="1" s="1"/>
  <c r="D16" i="7"/>
  <c r="C16" i="7"/>
  <c r="C16" i="18"/>
  <c r="Q34" i="18" s="1"/>
  <c r="C8" i="1" l="1"/>
  <c r="Q34" i="7"/>
  <c r="D8" i="1"/>
  <c r="C7" i="1"/>
  <c r="AT28" i="21" l="1"/>
  <c r="AS28" i="21"/>
  <c r="AR28" i="21"/>
  <c r="AQ28" i="21"/>
  <c r="AP28" i="21"/>
  <c r="AO28" i="21"/>
  <c r="AN28" i="21"/>
  <c r="AM28" i="21"/>
  <c r="AL28" i="21"/>
  <c r="AK28" i="21"/>
  <c r="AJ28" i="21"/>
  <c r="AI28" i="21"/>
  <c r="AH28" i="21"/>
  <c r="AG28" i="21"/>
  <c r="AF28" i="21"/>
  <c r="AE28" i="21"/>
  <c r="AD28" i="21"/>
  <c r="AC28" i="21"/>
  <c r="AA28" i="21"/>
  <c r="Z28" i="21"/>
  <c r="Y28" i="21"/>
  <c r="X28" i="21"/>
  <c r="W28" i="21"/>
  <c r="V28" i="21"/>
  <c r="U28" i="21"/>
  <c r="T28" i="21"/>
  <c r="S28" i="21"/>
  <c r="C28" i="21"/>
  <c r="D28" i="21"/>
  <c r="E28" i="21"/>
  <c r="F28" i="21"/>
  <c r="G28" i="21"/>
  <c r="H28" i="21"/>
  <c r="I28" i="21"/>
  <c r="J28" i="21"/>
  <c r="K28" i="21"/>
  <c r="L28" i="21"/>
  <c r="M28" i="21"/>
  <c r="N28" i="21"/>
  <c r="O28" i="21"/>
  <c r="P28" i="21"/>
  <c r="Q28" i="21"/>
  <c r="R28" i="21"/>
  <c r="B28" i="21"/>
  <c r="A3" i="21"/>
  <c r="A1" i="21"/>
  <c r="A3" i="13"/>
  <c r="A3" i="11"/>
  <c r="A3" i="7"/>
  <c r="BC17" i="21" l="1"/>
  <c r="BC28" i="21"/>
  <c r="E14" i="1"/>
  <c r="G14" i="1"/>
  <c r="H14" i="1"/>
  <c r="I14" i="1"/>
  <c r="J14" i="1"/>
  <c r="K14" i="1"/>
  <c r="L14" i="1"/>
  <c r="M14" i="1"/>
  <c r="N14" i="1"/>
  <c r="O14" i="1"/>
  <c r="C14" i="1"/>
  <c r="A3" i="18" l="1"/>
  <c r="C26" i="11" l="1"/>
  <c r="D9" i="1" l="1"/>
  <c r="O7" i="1" l="1"/>
  <c r="N7" i="1"/>
  <c r="M7" i="1"/>
  <c r="L7" i="1"/>
  <c r="K7" i="1"/>
  <c r="J7" i="1"/>
  <c r="I7" i="1"/>
  <c r="H7" i="1"/>
  <c r="G7" i="1"/>
  <c r="F7" i="1"/>
  <c r="E7" i="1"/>
  <c r="A1" i="18"/>
  <c r="R7" i="1" l="1"/>
  <c r="T7" i="1" s="1"/>
  <c r="T12" i="1"/>
  <c r="C11" i="13" l="1"/>
  <c r="D11" i="13"/>
  <c r="E11" i="13"/>
  <c r="E10" i="1" s="1"/>
  <c r="F11" i="13"/>
  <c r="F10" i="1" s="1"/>
  <c r="G11" i="13"/>
  <c r="G10" i="1" s="1"/>
  <c r="H11" i="13"/>
  <c r="H10" i="1" s="1"/>
  <c r="I11" i="13"/>
  <c r="J11" i="13"/>
  <c r="J10" i="1" s="1"/>
  <c r="K11" i="13"/>
  <c r="K10" i="1" s="1"/>
  <c r="L11" i="13"/>
  <c r="L10" i="1" s="1"/>
  <c r="M11" i="13"/>
  <c r="M10" i="1" s="1"/>
  <c r="N11" i="13"/>
  <c r="N10" i="1" s="1"/>
  <c r="O11" i="13"/>
  <c r="O10" i="1" s="1"/>
  <c r="F8" i="1"/>
  <c r="G8" i="1"/>
  <c r="H8" i="1"/>
  <c r="I8" i="1"/>
  <c r="J8" i="1"/>
  <c r="K8" i="1"/>
  <c r="L8" i="1"/>
  <c r="M8" i="1"/>
  <c r="N8" i="1"/>
  <c r="O8" i="1"/>
  <c r="E8" i="1"/>
  <c r="D26" i="11"/>
  <c r="E26" i="11"/>
  <c r="F9" i="1" s="1"/>
  <c r="F26" i="11"/>
  <c r="G9" i="1" s="1"/>
  <c r="G26" i="11"/>
  <c r="H9" i="1" s="1"/>
  <c r="H26" i="11"/>
  <c r="I26" i="11"/>
  <c r="J9" i="1" s="1"/>
  <c r="J26" i="11"/>
  <c r="K9" i="1" s="1"/>
  <c r="K26" i="11"/>
  <c r="L9" i="1" s="1"/>
  <c r="L26" i="11"/>
  <c r="M9" i="1" s="1"/>
  <c r="M26" i="11"/>
  <c r="N9" i="1" s="1"/>
  <c r="N26" i="11"/>
  <c r="O9" i="1" s="1"/>
  <c r="I9" i="1" l="1"/>
  <c r="Q26" i="11"/>
  <c r="I10" i="1"/>
  <c r="R11" i="13"/>
  <c r="R8" i="1"/>
  <c r="T8" i="1" s="1"/>
  <c r="D10" i="1"/>
  <c r="L11" i="1"/>
  <c r="L15" i="1" s="1"/>
  <c r="H11" i="1"/>
  <c r="H15" i="1" s="1"/>
  <c r="E9" i="1"/>
  <c r="C10" i="1"/>
  <c r="C11" i="1" s="1"/>
  <c r="J11" i="1"/>
  <c r="J15" i="1" s="1"/>
  <c r="F11" i="1"/>
  <c r="M11" i="1"/>
  <c r="M15" i="1" s="1"/>
  <c r="O11" i="1"/>
  <c r="O15" i="1" s="1"/>
  <c r="K11" i="1"/>
  <c r="K15" i="1" s="1"/>
  <c r="G11" i="1"/>
  <c r="G15" i="1" s="1"/>
  <c r="N11" i="1"/>
  <c r="N15" i="1" s="1"/>
  <c r="I11" i="1" l="1"/>
  <c r="I15" i="1" s="1"/>
  <c r="R9" i="1"/>
  <c r="T9" i="1" s="1"/>
  <c r="R10" i="1"/>
  <c r="E11" i="1"/>
  <c r="E15" i="1" s="1"/>
  <c r="D11" i="1"/>
  <c r="A2" i="13"/>
  <c r="A1" i="13"/>
  <c r="A2" i="11"/>
  <c r="A1" i="11"/>
  <c r="R11" i="1" l="1"/>
  <c r="T10" i="1"/>
  <c r="D15" i="1"/>
  <c r="C15" i="1"/>
  <c r="A2" i="7"/>
  <c r="A1" i="7"/>
  <c r="T11" i="1" l="1"/>
  <c r="F14" i="1" l="1"/>
  <c r="F15" i="1" s="1"/>
  <c r="T13" i="1" l="1"/>
  <c r="R14" i="1"/>
  <c r="T14" i="1" l="1"/>
  <c r="R15" i="1"/>
  <c r="S15" i="1" l="1"/>
  <c r="T15" i="1"/>
</calcChain>
</file>

<file path=xl/sharedStrings.xml><?xml version="1.0" encoding="utf-8"?>
<sst xmlns="http://schemas.openxmlformats.org/spreadsheetml/2006/main" count="658" uniqueCount="389">
  <si>
    <t>SOMAH Program Administrator</t>
  </si>
  <si>
    <t>Table 1. Budget</t>
  </si>
  <si>
    <t>Category</t>
  </si>
  <si>
    <t>Activity Details</t>
  </si>
  <si>
    <t>Total SOMAH Expenses</t>
  </si>
  <si>
    <t>Balance</t>
  </si>
  <si>
    <t>% of Total Admin Budget Spent</t>
  </si>
  <si>
    <t>SOMAH Program Admin</t>
  </si>
  <si>
    <t>Total linked from 3. SOMAH Program Admin tab.</t>
  </si>
  <si>
    <t>SOMAH Marketing, Education &amp; Outreach (ME&amp;O)</t>
  </si>
  <si>
    <t>Total linked from 4. SOMAH Marketing &amp; Outreach tab.</t>
  </si>
  <si>
    <t>SOMAH Workforce Development</t>
  </si>
  <si>
    <t>Total linked from 5. SOMAH Workforce Development tab.</t>
  </si>
  <si>
    <t>SOMAH Technical Assistance</t>
  </si>
  <si>
    <t>Total linked from 6. SOMAH Technical Assistance tab.</t>
  </si>
  <si>
    <t>Subtotal (A7:A10)</t>
  </si>
  <si>
    <t>SOMAH Evaluation Expenses*</t>
  </si>
  <si>
    <t>Expenditures to be entered by Energy Division.</t>
  </si>
  <si>
    <t xml:space="preserve">Investor Owned Utility (IOU) Expenses </t>
  </si>
  <si>
    <t>Expenditures to be entered by the SOMAH PA using the IOU Semi-Annual Expense Report.</t>
  </si>
  <si>
    <t>Subtotal (A12+A13)</t>
  </si>
  <si>
    <t>Total Program Admin Expenditures                               (A11 + A12+ A13)</t>
  </si>
  <si>
    <t>Total SOMAH Admin (Program Admin, ME&amp;O, Workforce Development, Technical Assistance, CPUC Expenses, IOU Expenses).</t>
  </si>
  <si>
    <r>
      <t>*Prior to January 2022, Energy Division staffing costs were included in error under “SOMAH California Public Utilities Commission (CPUC) Expenditures;” CPUC Energy Division staff overseeing SOMAH implementation are not funded through the SOMAH program. Historical amounts are amended to show the expenditures directed by CPUC Energy Division staff to be spent on</t>
    </r>
    <r>
      <rPr>
        <b/>
        <i/>
        <sz val="10"/>
        <rFont val="Calibri"/>
        <family val="2"/>
        <scheme val="minor"/>
      </rPr>
      <t xml:space="preserve"> evaluation activities</t>
    </r>
    <r>
      <rPr>
        <i/>
        <sz val="10"/>
        <rFont val="Calibri"/>
        <family val="2"/>
        <scheme val="minor"/>
      </rPr>
      <t xml:space="preserve"> which are funded by SOMAH program administration funds.</t>
    </r>
  </si>
  <si>
    <t>Table 2. Investor Owned Utility Collections by Collection Year</t>
  </si>
  <si>
    <t xml:space="preserve">Investor Owned Utility </t>
  </si>
  <si>
    <t>Under Collections True-Up*</t>
  </si>
  <si>
    <t>2020**</t>
  </si>
  <si>
    <t>Total</t>
  </si>
  <si>
    <t xml:space="preserve">Pacific Gas and Electric Company (PG&amp;E) </t>
  </si>
  <si>
    <t xml:space="preserve">Southern California Edison (SCE) </t>
  </si>
  <si>
    <t xml:space="preserve">San Diego Gas &amp; Electric Company (SDG&amp;E) </t>
  </si>
  <si>
    <t>PacifiCorp Company</t>
  </si>
  <si>
    <t>Liberty Utilities Company</t>
  </si>
  <si>
    <t>Total Program Budget</t>
  </si>
  <si>
    <t>*Investor Owned Utilities were directed to set aside additional funding in their 2020 Energy Resource Recovery Account (ERRA) and Energy Cost Adjustment Clause (ECAC) Applications to make up for under-collections in the 2016-2019 program years.</t>
  </si>
  <si>
    <t>Table 3. Incentive Budget by Collection Year*</t>
  </si>
  <si>
    <t>Under Collections True-Up</t>
  </si>
  <si>
    <t>Total Incentive Budget</t>
  </si>
  <si>
    <t>Table 4. Administrative Budget by Collection Year*</t>
  </si>
  <si>
    <t>Total Administrative Budget</t>
  </si>
  <si>
    <t xml:space="preserve">*Unspent incentive and administrative funds from previous Collection Years carry over into subsequent years. </t>
  </si>
  <si>
    <t>Table 5. Program Admin Expenditures (April 9, 2018 - March 31, 2019)*</t>
  </si>
  <si>
    <t>SOMAH Program Admin Category</t>
  </si>
  <si>
    <t>Q1 2019</t>
  </si>
  <si>
    <t>Program Management</t>
  </si>
  <si>
    <t>Team meetings, staff management, contracting, customer service, program planning and task order review.</t>
  </si>
  <si>
    <t>Financial Tracking</t>
  </si>
  <si>
    <t>Formulating and tracking budgets, invoicing, forecasts, tracking IOU expenses.</t>
  </si>
  <si>
    <t>Database Management</t>
  </si>
  <si>
    <t>Database design, development, testing and maintenance (PowerClerk, Trade Pro Connect, Salesforce).</t>
  </si>
  <si>
    <t>Program Reporting</t>
  </si>
  <si>
    <t>California DG Stats development and reporting; regulatory work.</t>
  </si>
  <si>
    <t>Application Processing</t>
  </si>
  <si>
    <t>Application process manual and application form development.</t>
  </si>
  <si>
    <t xml:space="preserve">On-site Field Verifications </t>
  </si>
  <si>
    <t>Inspections, Post-Installation Quality Control.</t>
  </si>
  <si>
    <t>Advisory Council</t>
  </si>
  <si>
    <t>Advisory Council selection and development.</t>
  </si>
  <si>
    <t>Program Development</t>
  </si>
  <si>
    <t>Program planning and development.</t>
  </si>
  <si>
    <t>Total Direct Expenses for SOMAH</t>
  </si>
  <si>
    <t>Program Admin Category</t>
  </si>
  <si>
    <t>Q2-Q4 2019</t>
  </si>
  <si>
    <t>PA Comments</t>
  </si>
  <si>
    <t>Timekeeping</t>
  </si>
  <si>
    <t xml:space="preserve">Timekeeping requirements to meet program invcoicing requirements. </t>
  </si>
  <si>
    <t>Program Admin</t>
  </si>
  <si>
    <t xml:space="preserve">Team meetings, staff management, and contracting. </t>
  </si>
  <si>
    <t>Formulating and tracking budgets, invoicing, forecasts, and tracking IOU expenses.</t>
  </si>
  <si>
    <t>Database design, development and maintenance, data system set up.</t>
  </si>
  <si>
    <t>Internal and external reporting, including application tracking, semi-annual progress reports, and semi-annual expense reports.</t>
  </si>
  <si>
    <t xml:space="preserve">Application review team training and application processing. </t>
  </si>
  <si>
    <t>On-site Field Verifications</t>
  </si>
  <si>
    <t>Scheduling, travel and completing on-site field inspections.</t>
  </si>
  <si>
    <t>Quarterly Advisory Council meetings, travel, and coordination with Advisory Council members.</t>
  </si>
  <si>
    <t>Program Planning and Development</t>
  </si>
  <si>
    <t xml:space="preserve">Regulatory tracking and participation, ongoing task order review and development, program planning activities, developing program tools. </t>
  </si>
  <si>
    <t>Bidding Resources</t>
  </si>
  <si>
    <t xml:space="preserve">Development of paper bid template and online bidding tool, maintenance and customer support for bidding tool. </t>
  </si>
  <si>
    <t>Working Group &amp; Public Forums</t>
  </si>
  <si>
    <t xml:space="preserve">Participation in IOU working groups and public forums. </t>
  </si>
  <si>
    <t>Program Quality Assurance and Quality Control (QA/QC)</t>
  </si>
  <si>
    <t>Application QA/QC; Program QA/QC.</t>
  </si>
  <si>
    <t>Worksite Safety Program</t>
  </si>
  <si>
    <t xml:space="preserve">Ongoing worksite safety for contractor training, fielding contractor and trainee questions. </t>
  </si>
  <si>
    <t>Total Expenses for Program Admin</t>
  </si>
  <si>
    <t>Includes totals from 2018 and Q1 of 2019</t>
  </si>
  <si>
    <t xml:space="preserve">* After consultation with Energy Division, the SOMAH Program Administrator updated and expanded the SOMAH Program Admin expenditure categories for Q2 2019 and beyond. Thus, SOMAH Program Admin expenditures for 2018-2019 are reflected in two separate tables, with Table 5 reflecting 2018-Q1 2019 and Table 6 reflecting Q2 2019 and beyond.  </t>
  </si>
  <si>
    <t>SOMAH ME&amp;O Category</t>
  </si>
  <si>
    <t xml:space="preserve">Brand Development </t>
  </si>
  <si>
    <t>Development of brand, logo, name style.</t>
  </si>
  <si>
    <t xml:space="preserve">Website Development &amp; Enhancements </t>
  </si>
  <si>
    <t>Development, maintenance and updates to CALSOMAH.org.</t>
  </si>
  <si>
    <t>Community Based Organizations</t>
  </si>
  <si>
    <t>Coordination with contracted community based organizations.</t>
  </si>
  <si>
    <t xml:space="preserve">Cooperative Marketing Efforts </t>
  </si>
  <si>
    <t>Statewide ME&amp;O, collaboration with other Programs (ESAP, LIWP, EUC, etc.).</t>
  </si>
  <si>
    <t>Conferences</t>
  </si>
  <si>
    <t>Scheduling, preparation and conference attendance, submitting conference proposals, presenting at conferences.</t>
  </si>
  <si>
    <t>ME&amp;O Admin</t>
  </si>
  <si>
    <t>Team meetings for ME&amp;O activities, market assessment study.</t>
  </si>
  <si>
    <t xml:space="preserve">Tenant Engagement </t>
  </si>
  <si>
    <t>Tenant education material development, translation and updates, tenant hotline.</t>
  </si>
  <si>
    <t>Property Owner Engagement</t>
  </si>
  <si>
    <t>Development and maintenance of property owner-facing material, including training and education and digital ads, communication with property owners for SOMAH referrals and program questions.</t>
  </si>
  <si>
    <t xml:space="preserve">Contractor Engagement </t>
  </si>
  <si>
    <t>Development and maintenance of contractor-facing material, including training and education (not including eligibility training) and digital ads. Communication with contractors for SOMAH referrals and program questions.</t>
  </si>
  <si>
    <t xml:space="preserve">Cooperative Marketing Efforts
</t>
  </si>
  <si>
    <t xml:space="preserve">Coordination with other programs and organizations. </t>
  </si>
  <si>
    <t>Scheduling, preparation and attending conferences, submitting conference proposals, presenting at conferences.</t>
  </si>
  <si>
    <t>Tenant Engagement</t>
  </si>
  <si>
    <t xml:space="preserve">Property Owner Engagement </t>
  </si>
  <si>
    <t>Contractor Engagement</t>
  </si>
  <si>
    <t xml:space="preserve">Contractor Training </t>
  </si>
  <si>
    <t>Eligibility Contractor Training webinars, slide preparation and updates.</t>
  </si>
  <si>
    <t>Marketing Collateral Development</t>
  </si>
  <si>
    <t>Development of core ME&amp;O collateral materials, including print, digital, flyers, brochures, tabling materials and presentation decks. Development of outreach materials that community based organizations can use to market to their constituents.</t>
  </si>
  <si>
    <t>Communications</t>
  </si>
  <si>
    <t>Development of mass email communications to inform about program launch, important dates, upcoming events and any changes to the program. Responding to general program inquires.</t>
  </si>
  <si>
    <t>Media</t>
  </si>
  <si>
    <t>Media outreach to promote the launch of the program and success stories; responding to media requests.</t>
  </si>
  <si>
    <t>ME&amp;O Plan Development</t>
  </si>
  <si>
    <t xml:space="preserve">Development of annual marketing plan &amp; budget planning for all ME&amp;O activities. </t>
  </si>
  <si>
    <t>Total Expenses for ME&amp;O</t>
  </si>
  <si>
    <t>ME&amp;O costs for Workforce Development (WFD) are not included in total ME&amp;O costs but are captured in total WFD costs in tab #5.</t>
  </si>
  <si>
    <t xml:space="preserve">* After consultation with Energy Division, the SOMAH Program Administrator updated and expanded the SOMAH Program ME&amp;O expenditure categories for Q2 2019 and beyond. Thus, SOMAH Program ME&amp;O expenditures for 2018-2019 are reflected in two separate tables, with Table 7 reflecting 2018-Q1 2019 and Table 8 reflecting Q2 2019 and beyond.  </t>
  </si>
  <si>
    <t>SOMAH Workforce Development Category</t>
  </si>
  <si>
    <t>Resource and Content Creation</t>
  </si>
  <si>
    <t xml:space="preserve">Creation and maintenance of local hiring plan, job training and work preparedness materials/outreach tools, online training. </t>
  </si>
  <si>
    <t xml:space="preserve">Data and Digital Tools Management </t>
  </si>
  <si>
    <t>Creation and maintenance of SOMAH Job Training Portal, including job training organization directory, resume bank, job board, Customer Relationship Management (CRM) tool, data reporting.</t>
  </si>
  <si>
    <t>Support Services</t>
  </si>
  <si>
    <t xml:space="preserve">Creation and maintenance of Solar Career Training demonstration site, SOMAH curriculum, job connector. </t>
  </si>
  <si>
    <t>Regional Job Training Organization (JTO) Task Force</t>
  </si>
  <si>
    <t>Organization and planning of JTO task force; holding JTO task force meetings.</t>
  </si>
  <si>
    <t>Cooperative Marketing Efforts</t>
  </si>
  <si>
    <t>Coordination of job training organizations/alliances.</t>
  </si>
  <si>
    <t xml:space="preserve">Workshops and Conferences </t>
  </si>
  <si>
    <t>Scheduling, preparation and attending conferences.</t>
  </si>
  <si>
    <t xml:space="preserve">General Administration </t>
  </si>
  <si>
    <t>General administration, team meetings.</t>
  </si>
  <si>
    <t xml:space="preserve">WFD Admin
</t>
  </si>
  <si>
    <t>Organizing and conducting team meetings.</t>
  </si>
  <si>
    <t xml:space="preserve">WFD Resource and Content Creation
</t>
  </si>
  <si>
    <t>Ongoing development of WFD content and resources to support trainees and contractors.</t>
  </si>
  <si>
    <t xml:space="preserve">Regional JTO Task Force
</t>
  </si>
  <si>
    <t>Organization and planning of JTO task force, including holding JTO task force meetings.</t>
  </si>
  <si>
    <t xml:space="preserve">WFD Cooperative Marketing Efforts
</t>
  </si>
  <si>
    <t xml:space="preserve">WFD Workshops and Conferences
</t>
  </si>
  <si>
    <t>Scheduling, preparation and conference attendance.</t>
  </si>
  <si>
    <t xml:space="preserve">Job Training Portal </t>
  </si>
  <si>
    <t xml:space="preserve">Development, maintenance and ongoing customer support of job training portal. </t>
  </si>
  <si>
    <t>Local Hiring Plan Development</t>
  </si>
  <si>
    <t>Development and implementation of Local Hiring Plan.</t>
  </si>
  <si>
    <t>Total Expenses for Workforce Development</t>
  </si>
  <si>
    <t xml:space="preserve">* After consultation with Energy Division, the SOMAH Program Administrator updated and expanded the SOMAH Program WFD expenditure categories for Q2 2019 and beyond. Thus, SOMAH Program WFD expenditures for 2018-2019 are reflected in two separate tables, with Table 9 reflecting 2018-Q1 2019 and Table 10 reflecting Q2 2019 and beyond.   </t>
  </si>
  <si>
    <t>Table 11. Technical Assistance (TA) Expenditures</t>
  </si>
  <si>
    <t>SOMAH Technical Assistance/Construction Bid Processing Category</t>
  </si>
  <si>
    <t>Financial TA</t>
  </si>
  <si>
    <t>Providing financial technical assistance.</t>
  </si>
  <si>
    <t>Pre-Installation TA</t>
  </si>
  <si>
    <t>Providing upfront technical assistance, standard technical assistance, and energy efficiency field verifications.</t>
  </si>
  <si>
    <t xml:space="preserve">PV Post-Installation
</t>
  </si>
  <si>
    <t>Providing general billing education sessions and phone support, system, performance monitoring and feedback, fault detection, and utility bill monitoring, surveying.</t>
  </si>
  <si>
    <t>Energy Efficiency and Other Related Leveraging Activities</t>
  </si>
  <si>
    <t>Facilitating coordination with other programs and funding sources available to projects, referrals and program research.</t>
  </si>
  <si>
    <t>Total Expenses for Technical Assistance</t>
  </si>
  <si>
    <t>Table 12. Actual Incentive Payments</t>
  </si>
  <si>
    <t>IOU Territory</t>
  </si>
  <si>
    <t>Q4 2019</t>
  </si>
  <si>
    <t xml:space="preserve">Q1 2020 </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</si>
  <si>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</si>
  <si>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</si>
  <si>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</si>
  <si>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</si>
  <si>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</si>
  <si>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</si>
  <si>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</si>
  <si>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</si>
  <si>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</si>
  <si>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</si>
  <si>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</si>
  <si>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</si>
  <si>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</si>
  <si>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</si>
  <si>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</si>
  <si>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</si>
  <si>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</si>
  <si>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</si>
  <si>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</si>
  <si>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</si>
  <si>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</si>
  <si>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</si>
  <si>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Q4 2025</t>
  </si>
  <si>
    <t>Q1 2026</t>
  </si>
  <si>
    <t>Q2 2026</t>
  </si>
  <si>
    <t>Q3 2026</t>
  </si>
  <si>
    <t>Q4 2026</t>
  </si>
  <si>
    <t>Q1 2027</t>
  </si>
  <si>
    <t>Q2 2027</t>
  </si>
  <si>
    <t>Q3 2027</t>
  </si>
  <si>
    <t>Q4 2027</t>
  </si>
  <si>
    <t>Q1 2028</t>
  </si>
  <si>
    <t>Q2 2028</t>
  </si>
  <si>
    <t>Q3 2028</t>
  </si>
  <si>
    <t>Q4 2028</t>
  </si>
  <si>
    <t>Q1 2029</t>
  </si>
  <si>
    <t>Q2 2029</t>
  </si>
  <si>
    <t>Q3 2029</t>
  </si>
  <si>
    <t>Q4 2029</t>
  </si>
  <si>
    <t>Q1 2030</t>
  </si>
  <si>
    <t>Q2 2030</t>
  </si>
  <si>
    <t>Q3 2030</t>
  </si>
  <si>
    <t>Q4 2030</t>
  </si>
  <si>
    <t xml:space="preserve">Total </t>
  </si>
  <si>
    <t>PG&amp;E Final Incentive</t>
  </si>
  <si>
    <t>PG&amp;E Progress Payments*</t>
  </si>
  <si>
    <t>SCE Final Incentive</t>
  </si>
  <si>
    <t>SCE Progress Payments*</t>
  </si>
  <si>
    <t>SDG&amp;E Final Incentive</t>
  </si>
  <si>
    <t>SDG&amp;E Progress Payments*</t>
  </si>
  <si>
    <t>PacifiCorp Final Incentive</t>
  </si>
  <si>
    <t>PacifiCorp Progress Payments*</t>
  </si>
  <si>
    <t>Liberty  Final Incentive</t>
  </si>
  <si>
    <t>Liberty  Progress Payments*</t>
  </si>
  <si>
    <t>Total Incentive Payments</t>
  </si>
  <si>
    <t>* The SOMAH Program offers a Progress Payment option to receive 60% of the total reserved incentive once the system is installed and is mechanically complete, in advance of receiving Permission to Operate from the IOU. This option enables partial recoupment of the system and installation costs before the completion of the IOU interconnection process, the SOMAH application process, and the final incentive payment.</t>
  </si>
  <si>
    <t xml:space="preserve">PG&amp;E </t>
  </si>
  <si>
    <t xml:space="preserve">SCE </t>
  </si>
  <si>
    <t xml:space="preserve">SDG&amp;E </t>
  </si>
  <si>
    <t xml:space="preserve">PacifiCorp </t>
  </si>
  <si>
    <t xml:space="preserve">Liberty </t>
  </si>
  <si>
    <t>Total Forecasted Incentive Payments</t>
  </si>
  <si>
    <t xml:space="preserve">Table 14. Pacific Gas &amp; Electric Collections </t>
  </si>
  <si>
    <t xml:space="preserve">CPUC Decision Number </t>
  </si>
  <si>
    <t>Set-Aside or True-up</t>
  </si>
  <si>
    <t>Actual Set-Aside</t>
  </si>
  <si>
    <t>Calendar Year ERRA Forecast</t>
  </si>
  <si>
    <t>Actual Set-Aside by Collection Year</t>
  </si>
  <si>
    <t>D.20-02-047</t>
  </si>
  <si>
    <t>2016 Set-Aside</t>
  </si>
  <si>
    <t>2017 Set-Aside</t>
  </si>
  <si>
    <t>2018 Set-Aside</t>
  </si>
  <si>
    <t>2019 Set-Aside</t>
  </si>
  <si>
    <t>2016-2019 True-Up</t>
  </si>
  <si>
    <t>Under Collections True-Up 2016-19</t>
  </si>
  <si>
    <t>Q1 2020 Set-Aside*</t>
  </si>
  <si>
    <t>Q2 2020 Set-Aside*</t>
  </si>
  <si>
    <t>D.20-12-038</t>
  </si>
  <si>
    <t>Q3-Q4 2020 Set-Aside**</t>
  </si>
  <si>
    <t>Q1 2021 Set-Aside***</t>
  </si>
  <si>
    <t xml:space="preserve">Q2 2021 Set-Aside </t>
  </si>
  <si>
    <t>Q3 2021 Set-Aside</t>
  </si>
  <si>
    <t>Q4 2021 Set-Aside</t>
  </si>
  <si>
    <t xml:space="preserve">D.22-02-002 </t>
  </si>
  <si>
    <t>2020 True-Up</t>
  </si>
  <si>
    <t>Q1 2022 Set-Aside</t>
  </si>
  <si>
    <t xml:space="preserve">Q2 2022 Set-Aside </t>
  </si>
  <si>
    <t>Q3 2022 Set-Aside</t>
  </si>
  <si>
    <t>Q4 2022 Set-Aside</t>
  </si>
  <si>
    <t>Total PG&amp;E Collections</t>
  </si>
  <si>
    <t xml:space="preserve">*PG&amp;E Q1-Q2 2020 funding was based on quarterly GHG revenue actuals. </t>
  </si>
  <si>
    <t>**PG&amp;E Q3-Q4 funding was based on the GHG revenue forecasted funds, and was released in Q1 2021</t>
  </si>
  <si>
    <t xml:space="preserve">***PG&amp;E 2021 Set-Aside was based on the GHG revenue forecasted funds, and was released quarterly. </t>
  </si>
  <si>
    <t>Table 15. Southern California Edison Collections</t>
  </si>
  <si>
    <t>D.20-01-022</t>
  </si>
  <si>
    <t>Q1-Q2 2020 Set-Aside*</t>
  </si>
  <si>
    <t>2021 Set-Aside***</t>
  </si>
  <si>
    <t xml:space="preserve">D.22-01-003 </t>
  </si>
  <si>
    <t xml:space="preserve">2021 True-up                  </t>
  </si>
  <si>
    <t>2022 Set-Aside</t>
  </si>
  <si>
    <t>Total SCE Collections</t>
  </si>
  <si>
    <t xml:space="preserve">*SCE Q1-Q2 2020 funding was based on quarterly GHG revenue forecasted funds. </t>
  </si>
  <si>
    <t>**SCE Q3-Q4 2020 Set-Aside was based on the GHG revenue forecasted funds, and was released in Q1 2021.</t>
  </si>
  <si>
    <t>***SCE 2021 Set-Aside was based on the GHG revenue forecasted funds, and was released in Q1 2021.</t>
  </si>
  <si>
    <t>Table 16. San Diego Gas &amp; Electric Collections</t>
  </si>
  <si>
    <t>D.20-01-005</t>
  </si>
  <si>
    <t>D.21-01-017</t>
  </si>
  <si>
    <t>Q4 2019 True-Up</t>
  </si>
  <si>
    <t>Q1-Q2 2020 True-Up</t>
  </si>
  <si>
    <t>D.21-12-040</t>
  </si>
  <si>
    <t>Total SDG&amp;E Collections</t>
  </si>
  <si>
    <t xml:space="preserve">*SDG&amp;E Q1-Q2 2020 funding was based on quarterly GHG revenue forecasted funds. </t>
  </si>
  <si>
    <t>**SDG&amp;E Q3-Q4 2020 Set-Aside was based on the GHG revenue forecasted funds, and was released in Q1 2021.</t>
  </si>
  <si>
    <t>***SDG&amp;E 2021 Set-Aside was based on the GHG revenue forecasted funds, and was released in Q1 2021.</t>
  </si>
  <si>
    <t>Calendar Year ECAC Forecast</t>
  </si>
  <si>
    <t xml:space="preserve">D.20-05-011 </t>
  </si>
  <si>
    <t>D.21-03-007</t>
  </si>
  <si>
    <t>D.22-03-014</t>
  </si>
  <si>
    <t xml:space="preserve">*PacifiCorp Q1-Q2 2020 funding was based on quarterly GHG revenue actuals. </t>
  </si>
  <si>
    <t xml:space="preserve">***PacifiCorp 2021 Set-Aside was based on the GHG revenue forecasted funds, and was released quarterly. </t>
  </si>
  <si>
    <t>Table 18. Liberty Utilities Company Collections</t>
  </si>
  <si>
    <t>Actual Set-Aside per Calendar Year</t>
  </si>
  <si>
    <t>D.20-05-044</t>
  </si>
  <si>
    <t>D.21-05-005</t>
  </si>
  <si>
    <t xml:space="preserve">*Liberty Q1-Q2 2020 funding was based on quarterly GHG revenue forecasted funds. </t>
  </si>
  <si>
    <t>**Liberty Q3-Q4 2020 Set-Aside was based on the GHG revenue forecasted funds, and was released in Q2 2021.</t>
  </si>
  <si>
    <t>***Liberty 2021 Set-Aside was based on the GHG revenue forecasted funds, and was released in Q2 2021.</t>
  </si>
  <si>
    <t>Q1 2022 Set-Aside***</t>
  </si>
  <si>
    <t>D.22-09-013</t>
  </si>
  <si>
    <t>2022***</t>
  </si>
  <si>
    <t>**2020 Collections for PacifiCorp Company and Liberty Utilities Company only represent the first half of Calendar Year 2020. The second half of Calendar Year 2020 was included in the 2021 ECAC Applications.</t>
  </si>
  <si>
    <t>D.23-03-008</t>
  </si>
  <si>
    <t>Q1 2023 Set-Aside</t>
  </si>
  <si>
    <t>Q2 2023 Set-Aside</t>
  </si>
  <si>
    <t>Q3 2023 Set-Aside</t>
  </si>
  <si>
    <t>Q4 2023 Set-Aside</t>
  </si>
  <si>
    <t>2021 True-Up</t>
  </si>
  <si>
    <t>D.22-12-044</t>
  </si>
  <si>
    <t>D.22-12-012</t>
  </si>
  <si>
    <t>2023 Set-Aside</t>
  </si>
  <si>
    <t>D.22-12-042</t>
  </si>
  <si>
    <t>D.20-12-035</t>
  </si>
  <si>
    <t>2022 True-Up</t>
  </si>
  <si>
    <t>Q1 2024 Set-Aside</t>
  </si>
  <si>
    <t>Q2 2024 Set-Aside</t>
  </si>
  <si>
    <t>D.15-12-033</t>
  </si>
  <si>
    <t>D.16-12-054</t>
  </si>
  <si>
    <t>D.17-12-018</t>
  </si>
  <si>
    <t>D.19-02-024</t>
  </si>
  <si>
    <t>2018 True-Up</t>
  </si>
  <si>
    <t>2019/2020 True-up</t>
  </si>
  <si>
    <t>2022 True-up</t>
  </si>
  <si>
    <t>D.23-11-094</t>
  </si>
  <si>
    <t>2024 Set-Aside</t>
  </si>
  <si>
    <t>D.17-12-014</t>
  </si>
  <si>
    <t>D.18-12-016</t>
  </si>
  <si>
    <t>Q4 2020 True-Up</t>
  </si>
  <si>
    <t>D.18-03-024</t>
  </si>
  <si>
    <t>Q4 2020 True Up</t>
  </si>
  <si>
    <t>D.24-02-021</t>
  </si>
  <si>
    <t>2022 True Up</t>
  </si>
  <si>
    <t>Q1 2031</t>
  </si>
  <si>
    <t>Q1 2032</t>
  </si>
  <si>
    <t>Q2 2031</t>
  </si>
  <si>
    <t>Q3 2031</t>
  </si>
  <si>
    <t>Q4 2031</t>
  </si>
  <si>
    <t>Q2 2032</t>
  </si>
  <si>
    <t>Q3 2032</t>
  </si>
  <si>
    <t>Q4 2032</t>
  </si>
  <si>
    <t>Q3 2024 Set-Aside</t>
  </si>
  <si>
    <t>Q4 2024 Set-Aside</t>
  </si>
  <si>
    <t xml:space="preserve">D.23-12-021 </t>
  </si>
  <si>
    <t>D.24-03-011</t>
  </si>
  <si>
    <t>Table 6. Program Admin Expenditures (April 1, 2019 - December 31, 2032)*</t>
  </si>
  <si>
    <t>Table 8. Marketing, Education &amp; Outreach (ME&amp;O) Expenditures (April 1, 2019 - December 31, 2032)*</t>
  </si>
  <si>
    <t>Table 10. Workforce Development (WFD) Expenditures (April 1, 2019 - December 31, 2032)*</t>
  </si>
  <si>
    <t>Table 7. Marketing, Education &amp; Outreach (ME&amp;O) Expenditures (April 9, 2018 - March 31, 2019)*</t>
  </si>
  <si>
    <t>Table 9. Workforce Development (WFD) Expenditures (April 9, 2018 - March 31, 2019)*</t>
  </si>
  <si>
    <t>Liberty and PacifiCorp ME&amp;O**</t>
  </si>
  <si>
    <t>Liberty and PacifiCorp territory ME&amp;O efforts</t>
  </si>
  <si>
    <t>D.22-12-043</t>
  </si>
  <si>
    <t>2023 True-Up</t>
  </si>
  <si>
    <t>Q1 2025 Set-Aside</t>
  </si>
  <si>
    <t>Q2 2025 Set-Aside</t>
  </si>
  <si>
    <t>Final 2023 True-up</t>
  </si>
  <si>
    <t>D.24-12-039</t>
  </si>
  <si>
    <t>2024 True-up</t>
  </si>
  <si>
    <t>2025 Set-Aside</t>
  </si>
  <si>
    <t>D.24-12-040</t>
  </si>
  <si>
    <t>2022 True-Up Correction****</t>
  </si>
  <si>
    <t>D.25-03-007</t>
  </si>
  <si>
    <t>***Decision (D.) 22-09-009 amended D.17-12-022, for the SOMAH forecast budgeting process. Each IOU can propose to set aside 10% or their proportionate share of $100 million for SOMAH, whichever is less, if they adequately show that the IOUs' collective revenue from the sale of greenhouse gas allowances defined in Public Util. Code Section 748.5 will equal or exceed $100 million. The SOMAH PA releases funds based on the IOUs’ set-asides, then trues-up the final three months of the year once the IOUs submit their Joint Advice Letter. 2022 figures were amended through a true-up filed in 2023 for the 2024 forecast year; more detail can be seen on "Sheet 8. IOU Collections Details", Tables 14 - 18.</t>
  </si>
  <si>
    <t>Total Liberty Utilities Company Collections</t>
  </si>
  <si>
    <t>D.25-08-012</t>
  </si>
  <si>
    <t>2023 true Up</t>
  </si>
  <si>
    <t xml:space="preserve">**PacifiCorp Q3-Q3 2020 funding was based on quarterly GHG revenue actuals, and was released in Q2 2021. </t>
  </si>
  <si>
    <t>Total Pacific Power Company Collections</t>
  </si>
  <si>
    <t>Q3 2025 Set-Aside</t>
  </si>
  <si>
    <t>****SDG&amp;E 2022 True-Up Correction was released in Q1 2025</t>
  </si>
  <si>
    <t>Q4 2025 Set-Aside</t>
  </si>
  <si>
    <t>Table 17. PacifiCorp Company Collections</t>
  </si>
  <si>
    <t xml:space="preserve">** As an outcome of D.24-11-006, tracking for the Liberty and PacifiCorp ME&amp;O efforts starts in 2025 and is set to end at the conclusion of 2029. </t>
  </si>
  <si>
    <t>D.23-12-022</t>
  </si>
  <si>
    <t>D.24-12-038</t>
  </si>
  <si>
    <t>Reporting Date: July  31, 2026</t>
  </si>
  <si>
    <t>Reporting Data Through: June 30, 2026</t>
  </si>
  <si>
    <t>D.25-12-027</t>
  </si>
  <si>
    <t>2024 True-Up</t>
  </si>
  <si>
    <t>Q1 2026 Set-Aside</t>
  </si>
  <si>
    <t>Q2 2026 Set-Aside</t>
  </si>
  <si>
    <t>D.25-12-028</t>
  </si>
  <si>
    <t>2025 True-up</t>
  </si>
  <si>
    <t>2026 Set-Aside (half year)</t>
  </si>
  <si>
    <t>D.25-12-008</t>
  </si>
  <si>
    <t>D.26-02-041</t>
  </si>
  <si>
    <t>Columns AQ-BB hidden until needed</t>
  </si>
  <si>
    <t>Table 13. Forecasted Final Incentive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</si>
</sst>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quot;$&quot;* #,##0_);_(&quot;$&quot;* \(#,##0\);_(&quot;$&quot;* &quot;-&quot;??_);_(@_)"/>
    <numFmt numFmtId="165" formatCode="0.0%"/>
    <numFmt numFmtId="166" formatCode="&quot;$&quot;#,##0.00"/>
    <numFmt numFmtId="167" formatCode="_(* #,##0_);_(* \(#,##0\);_(* &quot;-&quot;??_);_(@_)"/>
  </numFmts>
  <fonts count="31" x14ac:knownFonts="1">
    <font>
      <sz val="11"/>
      <color theme="1"/>
      <name val="Calibri"/>
      <family val="2"/>
      <scheme val="minor"/>
    </font>
    <font>
      <sz val="11"/>
      <color theme="1"/>
      <name val="Calibri"/>
      <family val="2"/>
      <scheme val="minor"/>
    </font>
    <font>
      <sz val="12"/>
      <name val="Calibri"/>
      <family val="2"/>
      <scheme val="minor"/>
    </font>
    <font>
      <sz val="12"/>
      <color theme="1"/>
      <name val="Calibri"/>
      <family val="2"/>
      <scheme val="minor"/>
    </font>
    <font>
      <sz val="12"/>
      <color theme="0"/>
      <name val="Calibri"/>
      <family val="2"/>
      <scheme val="minor"/>
    </font>
    <font>
      <sz val="10"/>
      <name val="Calibri"/>
      <family val="2"/>
      <scheme val="minor"/>
    </font>
    <font>
      <b/>
      <sz val="10"/>
      <name val="Calibri"/>
      <family val="2"/>
      <scheme val="minor"/>
    </font>
    <font>
      <sz val="10"/>
      <name val="Arial"/>
      <family val="2"/>
    </font>
    <font>
      <sz val="9"/>
      <name val="Arial"/>
      <family val="2"/>
    </font>
    <font>
      <sz val="10"/>
      <color indexed="10"/>
      <name val="Calibri"/>
      <family val="2"/>
      <scheme val="minor"/>
    </font>
    <font>
      <sz val="11"/>
      <name val="Calibri"/>
      <family val="2"/>
      <scheme val="minor"/>
    </font>
    <font>
      <i/>
      <sz val="11"/>
      <name val="Calibri"/>
      <family val="2"/>
      <scheme val="minor"/>
    </font>
    <font>
      <b/>
      <i/>
      <sz val="11"/>
      <name val="Calibri"/>
      <family val="2"/>
      <scheme val="minor"/>
    </font>
    <font>
      <b/>
      <sz val="12"/>
      <color indexed="8"/>
      <name val="Calibri"/>
      <family val="2"/>
      <scheme val="minor"/>
    </font>
    <font>
      <b/>
      <sz val="12"/>
      <name val="Calibri"/>
      <family val="2"/>
      <scheme val="minor"/>
    </font>
    <font>
      <i/>
      <sz val="10"/>
      <name val="Calibri"/>
      <family val="2"/>
      <scheme val="minor"/>
    </font>
    <font>
      <sz val="10"/>
      <color theme="0"/>
      <name val="Calibri"/>
      <family val="2"/>
      <scheme val="minor"/>
    </font>
    <font>
      <b/>
      <sz val="10"/>
      <color theme="0"/>
      <name val="Calibri"/>
      <family val="2"/>
      <scheme val="minor"/>
    </font>
    <font>
      <sz val="10"/>
      <color indexed="8"/>
      <name val="Calibri"/>
      <family val="2"/>
      <scheme val="minor"/>
    </font>
    <font>
      <sz val="10"/>
      <color theme="1"/>
      <name val="Calibri"/>
      <family val="2"/>
      <scheme val="minor"/>
    </font>
    <font>
      <b/>
      <sz val="10"/>
      <color indexed="8"/>
      <name val="Calibri"/>
      <family val="2"/>
      <scheme val="minor"/>
    </font>
    <font>
      <i/>
      <sz val="11"/>
      <color theme="1"/>
      <name val="Calibri"/>
      <family val="2"/>
      <scheme val="minor"/>
    </font>
    <font>
      <i/>
      <sz val="10"/>
      <color theme="1"/>
      <name val="Calibri"/>
      <family val="2"/>
      <scheme val="minor"/>
    </font>
    <font>
      <b/>
      <i/>
      <sz val="10"/>
      <name val="Calibri"/>
      <family val="2"/>
      <scheme val="minor"/>
    </font>
    <font>
      <sz val="9"/>
      <name val="Calibri"/>
      <family val="2"/>
      <scheme val="minor"/>
    </font>
    <font>
      <sz val="9"/>
      <color theme="1"/>
      <name val="Calibri"/>
      <family val="2"/>
      <scheme val="minor"/>
    </font>
    <font>
      <b/>
      <sz val="12"/>
      <color theme="1"/>
      <name val="Calibri"/>
      <family val="2"/>
      <scheme val="minor"/>
    </font>
    <font>
      <b/>
      <sz val="10"/>
      <color theme="1"/>
      <name val="Calibri"/>
      <family val="2"/>
      <scheme val="minor"/>
    </font>
    <font>
      <sz val="8"/>
      <name val="Calibri"/>
      <family val="2"/>
      <scheme val="minor"/>
    </font>
    <font>
      <b/>
      <sz val="11"/>
      <color rgb="FF000000"/>
      <name val="Calibri"/>
      <family val="2"/>
      <scheme val="minor"/>
    </font>
    <font>
      <sz val="11"/>
      <color rgb="FF000000"/>
      <name val="Calibri"/>
      <family val="2"/>
      <scheme val="minor"/>
    </font>
  </fonts>
  <fills count="11">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lightUp"/>
    </fill>
    <fill>
      <patternFill patternType="solid">
        <fgColor theme="6"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92D05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bottom/>
      <diagonal/>
    </border>
  </borders>
  <cellStyleXfs count="10">
    <xf numFmtId="0" fontId="0" fillId="0" borderId="0"/>
    <xf numFmtId="9" fontId="1" fillId="0" borderId="0" applyFont="0" applyFill="0" applyBorder="0" applyAlignment="0" applyProtection="0"/>
    <xf numFmtId="44" fontId="7" fillId="0" borderId="0" applyFont="0" applyFill="0" applyBorder="0" applyAlignment="0" applyProtection="0"/>
    <xf numFmtId="0" fontId="8" fillId="0" borderId="0"/>
    <xf numFmtId="0" fontId="7" fillId="0" borderId="0"/>
    <xf numFmtId="44" fontId="8" fillId="0" borderId="0" applyFont="0" applyFill="0" applyBorder="0" applyAlignment="0" applyProtection="0"/>
    <xf numFmtId="44" fontId="1" fillId="0" borderId="0" applyFont="0" applyFill="0" applyBorder="0" applyAlignment="0" applyProtection="0"/>
    <xf numFmtId="0" fontId="7" fillId="0" borderId="0"/>
    <xf numFmtId="43" fontId="1" fillId="0" borderId="0" applyFont="0" applyFill="0" applyBorder="0" applyAlignment="0" applyProtection="0"/>
    <xf numFmtId="0" fontId="7" fillId="0" borderId="0"/>
  </cellStyleXfs>
  <cellXfs count="276">
    <xf numFmtId="0" fontId="0" fillId="0" borderId="0" xfId="0"/>
    <xf numFmtId="0" fontId="2" fillId="0" borderId="0" xfId="0" applyFont="1" applyAlignment="1">
      <alignment horizontal="left"/>
    </xf>
    <xf numFmtId="0" fontId="2" fillId="0" borderId="0" xfId="0" applyFont="1"/>
    <xf numFmtId="0" fontId="3" fillId="0" borderId="0" xfId="0" applyFont="1"/>
    <xf numFmtId="0" fontId="4" fillId="0" borderId="0" xfId="0" applyFont="1"/>
    <xf numFmtId="0" fontId="5" fillId="0" borderId="0" xfId="0" applyFont="1" applyAlignment="1">
      <alignment horizontal="left"/>
    </xf>
    <xf numFmtId="0" fontId="5" fillId="0" borderId="0" xfId="0" applyFont="1"/>
    <xf numFmtId="164" fontId="5" fillId="0" borderId="1" xfId="2" applyNumberFormat="1" applyFont="1" applyFill="1" applyBorder="1" applyAlignment="1">
      <alignment vertical="top" wrapText="1"/>
    </xf>
    <xf numFmtId="44" fontId="0" fillId="0" borderId="0" xfId="2" applyFont="1" applyBorder="1"/>
    <xf numFmtId="164" fontId="0" fillId="0" borderId="0" xfId="0" applyNumberFormat="1"/>
    <xf numFmtId="44" fontId="0" fillId="0" borderId="0" xfId="0" applyNumberFormat="1"/>
    <xf numFmtId="164" fontId="10" fillId="0" borderId="11" xfId="0" applyNumberFormat="1" applyFont="1" applyBorder="1" applyAlignment="1">
      <alignment horizontal="left" wrapText="1"/>
    </xf>
    <xf numFmtId="164" fontId="10" fillId="0" borderId="0" xfId="0" applyNumberFormat="1" applyFont="1"/>
    <xf numFmtId="0" fontId="13" fillId="2" borderId="8" xfId="0" applyFont="1" applyFill="1" applyBorder="1" applyAlignment="1">
      <alignment horizontal="left" vertical="top"/>
    </xf>
    <xf numFmtId="0" fontId="2" fillId="2" borderId="2" xfId="0" applyFont="1" applyFill="1" applyBorder="1" applyAlignment="1">
      <alignment horizontal="center"/>
    </xf>
    <xf numFmtId="0" fontId="14" fillId="2" borderId="5" xfId="0" applyFont="1" applyFill="1" applyBorder="1" applyAlignment="1">
      <alignment horizontal="left"/>
    </xf>
    <xf numFmtId="164" fontId="2" fillId="2" borderId="6" xfId="0" applyNumberFormat="1" applyFont="1" applyFill="1" applyBorder="1"/>
    <xf numFmtId="0" fontId="14" fillId="2" borderId="6" xfId="0" applyFont="1" applyFill="1" applyBorder="1" applyAlignment="1">
      <alignment horizontal="center"/>
    </xf>
    <xf numFmtId="164" fontId="14" fillId="2" borderId="10" xfId="0" applyNumberFormat="1" applyFont="1" applyFill="1" applyBorder="1" applyAlignment="1">
      <alignment horizontal="center"/>
    </xf>
    <xf numFmtId="0" fontId="6" fillId="0" borderId="0" xfId="0" applyFont="1" applyAlignment="1">
      <alignment vertical="top"/>
    </xf>
    <xf numFmtId="164" fontId="6" fillId="0" borderId="0" xfId="2" applyNumberFormat="1" applyFont="1" applyFill="1" applyBorder="1" applyAlignment="1">
      <alignment vertical="top" wrapText="1"/>
    </xf>
    <xf numFmtId="165" fontId="5" fillId="0" borderId="0" xfId="1" applyNumberFormat="1" applyFont="1" applyFill="1" applyBorder="1" applyAlignment="1">
      <alignment horizontal="left" vertical="top"/>
    </xf>
    <xf numFmtId="164" fontId="6" fillId="0" borderId="0" xfId="0" applyNumberFormat="1" applyFont="1"/>
    <xf numFmtId="0" fontId="6" fillId="0" borderId="0" xfId="0" applyFont="1"/>
    <xf numFmtId="0" fontId="9" fillId="0" borderId="0" xfId="0" applyFont="1" applyAlignment="1">
      <alignment horizontal="left" indent="1"/>
    </xf>
    <xf numFmtId="164" fontId="2" fillId="0" borderId="0" xfId="0" applyNumberFormat="1" applyFont="1"/>
    <xf numFmtId="164" fontId="5" fillId="0" borderId="0" xfId="0" applyNumberFormat="1" applyFont="1"/>
    <xf numFmtId="0" fontId="15" fillId="0" borderId="0" xfId="0" applyFont="1" applyAlignment="1">
      <alignment horizontal="center" wrapText="1"/>
    </xf>
    <xf numFmtId="0" fontId="16" fillId="0" borderId="0" xfId="0" applyFont="1"/>
    <xf numFmtId="10" fontId="5" fillId="0" borderId="0" xfId="1" applyNumberFormat="1" applyFont="1"/>
    <xf numFmtId="0" fontId="6" fillId="2" borderId="8" xfId="0" applyFont="1" applyFill="1" applyBorder="1" applyAlignment="1">
      <alignment vertical="top"/>
    </xf>
    <xf numFmtId="0" fontId="6" fillId="2" borderId="10" xfId="0" applyFont="1" applyFill="1" applyBorder="1" applyAlignment="1">
      <alignment horizontal="center" vertical="top" wrapText="1"/>
    </xf>
    <xf numFmtId="164" fontId="5" fillId="0" borderId="0" xfId="2" applyNumberFormat="1" applyFont="1" applyFill="1" applyBorder="1" applyAlignment="1">
      <alignment vertical="top" wrapText="1"/>
    </xf>
    <xf numFmtId="164" fontId="5" fillId="0" borderId="11" xfId="2" applyNumberFormat="1" applyFont="1" applyFill="1" applyBorder="1" applyAlignment="1">
      <alignment vertical="top" wrapText="1"/>
    </xf>
    <xf numFmtId="0" fontId="6" fillId="2" borderId="6" xfId="0" applyFont="1" applyFill="1" applyBorder="1" applyAlignment="1">
      <alignment horizontal="center" vertical="top"/>
    </xf>
    <xf numFmtId="0" fontId="6" fillId="2" borderId="6" xfId="0" applyFont="1" applyFill="1" applyBorder="1" applyAlignment="1">
      <alignment horizontal="center" vertical="top" wrapText="1"/>
    </xf>
    <xf numFmtId="164" fontId="5" fillId="0" borderId="6" xfId="2" applyNumberFormat="1" applyFont="1" applyFill="1" applyBorder="1" applyAlignment="1">
      <alignment vertical="top" wrapText="1"/>
    </xf>
    <xf numFmtId="164" fontId="5" fillId="0" borderId="4" xfId="2" applyNumberFormat="1" applyFont="1" applyFill="1" applyBorder="1" applyAlignment="1">
      <alignment vertical="top" wrapText="1"/>
    </xf>
    <xf numFmtId="0" fontId="6" fillId="4" borderId="8" xfId="0" applyFont="1" applyFill="1" applyBorder="1" applyAlignment="1">
      <alignment vertical="top"/>
    </xf>
    <xf numFmtId="0" fontId="19" fillId="0" borderId="0" xfId="0" applyFont="1"/>
    <xf numFmtId="0" fontId="20" fillId="2" borderId="8" xfId="0" applyFont="1" applyFill="1" applyBorder="1" applyAlignment="1">
      <alignment horizontal="left" vertical="top"/>
    </xf>
    <xf numFmtId="164" fontId="19" fillId="0" borderId="0" xfId="0" applyNumberFormat="1" applyFont="1"/>
    <xf numFmtId="164" fontId="5" fillId="6" borderId="11" xfId="0" applyNumberFormat="1" applyFont="1" applyFill="1" applyBorder="1"/>
    <xf numFmtId="0" fontId="6" fillId="2" borderId="8" xfId="0" applyFont="1" applyFill="1" applyBorder="1" applyAlignment="1">
      <alignment horizontal="center" vertical="top"/>
    </xf>
    <xf numFmtId="164" fontId="5" fillId="6" borderId="12" xfId="0" applyNumberFormat="1" applyFont="1" applyFill="1" applyBorder="1"/>
    <xf numFmtId="44" fontId="2" fillId="2" borderId="6" xfId="0" applyNumberFormat="1" applyFont="1" applyFill="1" applyBorder="1"/>
    <xf numFmtId="0" fontId="14" fillId="2" borderId="13" xfId="0" applyFont="1" applyFill="1" applyBorder="1" applyAlignment="1">
      <alignment horizontal="left"/>
    </xf>
    <xf numFmtId="164" fontId="5" fillId="7" borderId="12" xfId="2" applyNumberFormat="1" applyFont="1" applyFill="1" applyBorder="1" applyAlignment="1">
      <alignment vertical="top" wrapText="1"/>
    </xf>
    <xf numFmtId="0" fontId="6" fillId="2" borderId="8" xfId="0" applyFont="1" applyFill="1" applyBorder="1" applyAlignment="1">
      <alignment vertical="top" wrapText="1"/>
    </xf>
    <xf numFmtId="164" fontId="5" fillId="7" borderId="21" xfId="2" applyNumberFormat="1" applyFont="1" applyFill="1" applyBorder="1" applyAlignment="1">
      <alignment vertical="top" wrapText="1"/>
    </xf>
    <xf numFmtId="164" fontId="5" fillId="6" borderId="21" xfId="0" applyNumberFormat="1" applyFont="1" applyFill="1" applyBorder="1"/>
    <xf numFmtId="0" fontId="11" fillId="0" borderId="1" xfId="0" applyFont="1" applyBorder="1" applyAlignment="1">
      <alignment horizontal="center" wrapText="1"/>
    </xf>
    <xf numFmtId="0" fontId="0" fillId="0" borderId="1" xfId="0" applyBorder="1"/>
    <xf numFmtId="44" fontId="21" fillId="7" borderId="11" xfId="6" applyFont="1" applyFill="1" applyBorder="1"/>
    <xf numFmtId="44" fontId="12" fillId="7" borderId="11" xfId="6" applyFont="1" applyFill="1" applyBorder="1" applyAlignment="1">
      <alignment horizontal="left" wrapText="1"/>
    </xf>
    <xf numFmtId="44" fontId="11" fillId="7" borderId="11" xfId="6" applyFont="1" applyFill="1" applyBorder="1" applyAlignment="1">
      <alignment horizontal="left" wrapText="1"/>
    </xf>
    <xf numFmtId="44" fontId="21" fillId="7" borderId="1" xfId="6" applyFont="1" applyFill="1" applyBorder="1"/>
    <xf numFmtId="44" fontId="11" fillId="7" borderId="1" xfId="6" applyFont="1" applyFill="1" applyBorder="1" applyAlignment="1">
      <alignment horizontal="left" wrapText="1"/>
    </xf>
    <xf numFmtId="44" fontId="11" fillId="7" borderId="12" xfId="6" applyFont="1" applyFill="1" applyBorder="1" applyAlignment="1">
      <alignment horizontal="left" wrapText="1"/>
    </xf>
    <xf numFmtId="44" fontId="21" fillId="7" borderId="12" xfId="6" applyFont="1" applyFill="1" applyBorder="1"/>
    <xf numFmtId="0" fontId="25" fillId="0" borderId="0" xfId="0" applyFont="1"/>
    <xf numFmtId="164" fontId="10" fillId="0" borderId="7" xfId="0" applyNumberFormat="1" applyFont="1" applyBorder="1" applyAlignment="1">
      <alignment horizontal="left" wrapText="1"/>
    </xf>
    <xf numFmtId="0" fontId="6" fillId="8" borderId="6" xfId="0" applyFont="1" applyFill="1" applyBorder="1" applyAlignment="1">
      <alignment horizontal="center" vertical="top" wrapText="1"/>
    </xf>
    <xf numFmtId="164" fontId="5" fillId="8" borderId="11" xfId="2" applyNumberFormat="1" applyFont="1" applyFill="1" applyBorder="1" applyAlignment="1">
      <alignment vertical="top" wrapText="1"/>
    </xf>
    <xf numFmtId="164" fontId="5" fillId="8" borderId="1" xfId="2" applyNumberFormat="1" applyFont="1" applyFill="1" applyBorder="1" applyAlignment="1">
      <alignment vertical="top" wrapText="1"/>
    </xf>
    <xf numFmtId="164" fontId="5" fillId="8" borderId="4" xfId="2" applyNumberFormat="1" applyFont="1" applyFill="1" applyBorder="1" applyAlignment="1">
      <alignment vertical="top" wrapText="1"/>
    </xf>
    <xf numFmtId="164" fontId="5" fillId="8" borderId="6" xfId="2" applyNumberFormat="1" applyFont="1" applyFill="1" applyBorder="1" applyAlignment="1">
      <alignment vertical="top" wrapText="1"/>
    </xf>
    <xf numFmtId="164" fontId="5" fillId="8" borderId="12" xfId="2" applyNumberFormat="1" applyFont="1" applyFill="1" applyBorder="1" applyAlignment="1">
      <alignment vertical="top" wrapText="1"/>
    </xf>
    <xf numFmtId="164" fontId="5" fillId="8" borderId="21" xfId="2" applyNumberFormat="1" applyFont="1" applyFill="1" applyBorder="1" applyAlignment="1">
      <alignment vertical="top" wrapText="1"/>
    </xf>
    <xf numFmtId="0" fontId="6" fillId="2" borderId="23" xfId="0" applyFont="1" applyFill="1" applyBorder="1" applyAlignment="1">
      <alignment horizontal="center"/>
    </xf>
    <xf numFmtId="0" fontId="6" fillId="5" borderId="23" xfId="0" applyFont="1" applyFill="1" applyBorder="1" applyAlignment="1">
      <alignment horizontal="center"/>
    </xf>
    <xf numFmtId="164" fontId="6" fillId="2" borderId="6" xfId="6" applyNumberFormat="1" applyFont="1" applyFill="1" applyBorder="1" applyAlignment="1">
      <alignment vertical="top" wrapText="1"/>
    </xf>
    <xf numFmtId="164" fontId="6" fillId="8" borderId="6" xfId="6" applyNumberFormat="1" applyFont="1" applyFill="1" applyBorder="1" applyAlignment="1">
      <alignment vertical="top" wrapText="1"/>
    </xf>
    <xf numFmtId="0" fontId="2" fillId="2" borderId="1" xfId="0" applyFont="1" applyFill="1" applyBorder="1" applyAlignment="1">
      <alignment horizontal="center"/>
    </xf>
    <xf numFmtId="164" fontId="14" fillId="2" borderId="9" xfId="0" applyNumberFormat="1" applyFont="1" applyFill="1" applyBorder="1"/>
    <xf numFmtId="164" fontId="14" fillId="2" borderId="6" xfId="0" applyNumberFormat="1" applyFont="1" applyFill="1" applyBorder="1"/>
    <xf numFmtId="164" fontId="15" fillId="7" borderId="11" xfId="2" applyNumberFormat="1" applyFont="1" applyFill="1" applyBorder="1" applyAlignment="1">
      <alignment vertical="top" wrapText="1"/>
    </xf>
    <xf numFmtId="164" fontId="15" fillId="7" borderId="1" xfId="2" applyNumberFormat="1" applyFont="1" applyFill="1" applyBorder="1" applyAlignment="1">
      <alignment vertical="top" wrapText="1"/>
    </xf>
    <xf numFmtId="164" fontId="15" fillId="7" borderId="4" xfId="2" applyNumberFormat="1" applyFont="1" applyFill="1" applyBorder="1" applyAlignment="1">
      <alignment vertical="top" wrapText="1"/>
    </xf>
    <xf numFmtId="44" fontId="21" fillId="7" borderId="1" xfId="6" applyFont="1" applyFill="1" applyBorder="1" applyAlignment="1">
      <alignment vertical="center"/>
    </xf>
    <xf numFmtId="164" fontId="2" fillId="2" borderId="6" xfId="0" applyNumberFormat="1" applyFont="1" applyFill="1" applyBorder="1" applyAlignment="1">
      <alignment vertical="center"/>
    </xf>
    <xf numFmtId="44" fontId="11" fillId="7" borderId="11" xfId="6" applyFont="1" applyFill="1" applyBorder="1" applyAlignment="1">
      <alignment horizontal="left" vertical="center" wrapText="1"/>
    </xf>
    <xf numFmtId="164" fontId="5" fillId="0" borderId="1" xfId="2" applyNumberFormat="1" applyFont="1" applyFill="1" applyBorder="1" applyAlignment="1">
      <alignment horizontal="left" vertical="center" wrapText="1" indent="1"/>
    </xf>
    <xf numFmtId="0" fontId="21" fillId="7" borderId="1" xfId="0" applyFont="1" applyFill="1" applyBorder="1" applyAlignment="1">
      <alignment vertical="center"/>
    </xf>
    <xf numFmtId="0" fontId="0" fillId="7" borderId="1" xfId="0" applyFill="1" applyBorder="1" applyAlignment="1">
      <alignment vertical="center"/>
    </xf>
    <xf numFmtId="44" fontId="6" fillId="2" borderId="24" xfId="6" applyFont="1" applyFill="1" applyBorder="1" applyAlignment="1">
      <alignment horizontal="center" vertical="center"/>
    </xf>
    <xf numFmtId="44" fontId="6" fillId="5" borderId="24" xfId="6" applyFont="1" applyFill="1" applyBorder="1" applyAlignment="1">
      <alignment horizontal="center" vertical="center"/>
    </xf>
    <xf numFmtId="0" fontId="5" fillId="0" borderId="11" xfId="7" applyFont="1" applyBorder="1" applyAlignment="1">
      <alignment horizontal="left" vertical="center" wrapText="1" indent="1"/>
    </xf>
    <xf numFmtId="0" fontId="5" fillId="0" borderId="1" xfId="7" applyFont="1" applyBorder="1" applyAlignment="1">
      <alignment horizontal="left" vertical="center" wrapText="1" indent="1"/>
    </xf>
    <xf numFmtId="0" fontId="5" fillId="0" borderId="1" xfId="2" applyNumberFormat="1" applyFont="1" applyFill="1" applyBorder="1" applyAlignment="1">
      <alignment horizontal="left" vertical="center" wrapText="1" indent="1"/>
    </xf>
    <xf numFmtId="0" fontId="18" fillId="5" borderId="11" xfId="0" applyFont="1" applyFill="1" applyBorder="1" applyAlignment="1">
      <alignment horizontal="left" vertical="center" wrapText="1" indent="1"/>
    </xf>
    <xf numFmtId="0" fontId="18" fillId="5" borderId="1" xfId="0" applyFont="1" applyFill="1" applyBorder="1" applyAlignment="1">
      <alignment horizontal="left" vertical="center" wrapText="1" indent="1"/>
    </xf>
    <xf numFmtId="0" fontId="18" fillId="5" borderId="4" xfId="0" applyFont="1" applyFill="1" applyBorder="1" applyAlignment="1">
      <alignment horizontal="left" vertical="center" wrapText="1" indent="1"/>
    </xf>
    <xf numFmtId="0" fontId="5" fillId="0" borderId="4" xfId="7" applyFont="1" applyBorder="1" applyAlignment="1">
      <alignment horizontal="left" vertical="center" wrapText="1" indent="1"/>
    </xf>
    <xf numFmtId="0" fontId="19" fillId="0" borderId="1" xfId="0" applyFont="1" applyBorder="1" applyAlignment="1">
      <alignment horizontal="left" vertical="center" wrapText="1" indent="1"/>
    </xf>
    <xf numFmtId="0" fontId="18" fillId="5" borderId="1" xfId="0" applyFont="1" applyFill="1" applyBorder="1" applyAlignment="1">
      <alignment horizontal="left" wrapText="1" indent="1"/>
    </xf>
    <xf numFmtId="0" fontId="19" fillId="0" borderId="0" xfId="0" applyFont="1" applyAlignment="1">
      <alignment horizontal="left" vertical="center" wrapText="1" indent="1"/>
    </xf>
    <xf numFmtId="0" fontId="18" fillId="5" borderId="1" xfId="0" applyFont="1" applyFill="1" applyBorder="1" applyAlignment="1">
      <alignment horizontal="left" vertical="center" indent="1"/>
    </xf>
    <xf numFmtId="0" fontId="18" fillId="0" borderId="1" xfId="0" applyFont="1" applyBorder="1" applyAlignment="1">
      <alignment horizontal="left" vertical="center" wrapText="1" indent="1"/>
    </xf>
    <xf numFmtId="0" fontId="5" fillId="5" borderId="11" xfId="0" applyFont="1" applyFill="1" applyBorder="1" applyAlignment="1">
      <alignment horizontal="left" vertical="top" indent="1"/>
    </xf>
    <xf numFmtId="0" fontId="5" fillId="5" borderId="1" xfId="0" applyFont="1" applyFill="1" applyBorder="1" applyAlignment="1">
      <alignment horizontal="left" vertical="top" indent="1"/>
    </xf>
    <xf numFmtId="0" fontId="5" fillId="5" borderId="4" xfId="0" applyFont="1" applyFill="1" applyBorder="1" applyAlignment="1">
      <alignment horizontal="left" vertical="top" indent="1"/>
    </xf>
    <xf numFmtId="0" fontId="11" fillId="0" borderId="0" xfId="0" applyFont="1" applyAlignment="1">
      <alignment wrapText="1"/>
    </xf>
    <xf numFmtId="0" fontId="5" fillId="5" borderId="17" xfId="2" applyNumberFormat="1" applyFont="1" applyFill="1" applyBorder="1" applyAlignment="1">
      <alignment horizontal="left" vertical="center" wrapText="1" indent="1"/>
    </xf>
    <xf numFmtId="164" fontId="5" fillId="5" borderId="1" xfId="2" applyNumberFormat="1" applyFont="1" applyFill="1" applyBorder="1" applyAlignment="1">
      <alignment horizontal="left" vertical="center" wrapText="1" indent="1"/>
    </xf>
    <xf numFmtId="0" fontId="5" fillId="5" borderId="14" xfId="0" applyFont="1" applyFill="1" applyBorder="1" applyAlignment="1">
      <alignment horizontal="left" vertical="center" indent="1"/>
    </xf>
    <xf numFmtId="0" fontId="5" fillId="5" borderId="15" xfId="0" applyFont="1" applyFill="1" applyBorder="1" applyAlignment="1">
      <alignment horizontal="left" vertical="center" indent="1"/>
    </xf>
    <xf numFmtId="0" fontId="5" fillId="5" borderId="16" xfId="0" applyFont="1" applyFill="1" applyBorder="1" applyAlignment="1">
      <alignment horizontal="left" vertical="center" indent="1"/>
    </xf>
    <xf numFmtId="0" fontId="5" fillId="5" borderId="22" xfId="2" applyNumberFormat="1" applyFont="1" applyFill="1" applyBorder="1" applyAlignment="1">
      <alignment horizontal="left" vertical="center" wrapText="1" indent="1"/>
    </xf>
    <xf numFmtId="0" fontId="5" fillId="0" borderId="1" xfId="7" applyFont="1" applyBorder="1" applyAlignment="1">
      <alignment horizontal="left" vertical="center" indent="1"/>
    </xf>
    <xf numFmtId="0" fontId="0" fillId="0" borderId="0" xfId="0" applyAlignment="1">
      <alignment vertical="center" wrapText="1"/>
    </xf>
    <xf numFmtId="0" fontId="6" fillId="0" borderId="0" xfId="0" applyFont="1" applyAlignment="1">
      <alignment wrapText="1"/>
    </xf>
    <xf numFmtId="0" fontId="5" fillId="5" borderId="12" xfId="2" applyNumberFormat="1" applyFont="1" applyFill="1" applyBorder="1" applyAlignment="1">
      <alignment horizontal="left" vertical="center" wrapText="1" indent="1"/>
    </xf>
    <xf numFmtId="0" fontId="5" fillId="5" borderId="21" xfId="2" applyNumberFormat="1" applyFont="1" applyFill="1" applyBorder="1" applyAlignment="1">
      <alignment horizontal="left" vertical="center" wrapText="1" indent="1"/>
    </xf>
    <xf numFmtId="0" fontId="5" fillId="5" borderId="11" xfId="2" applyNumberFormat="1" applyFont="1" applyFill="1" applyBorder="1" applyAlignment="1">
      <alignment horizontal="left" vertical="center" wrapText="1" indent="1"/>
    </xf>
    <xf numFmtId="0" fontId="5" fillId="4" borderId="6" xfId="2" applyNumberFormat="1" applyFont="1" applyFill="1" applyBorder="1" applyAlignment="1">
      <alignment horizontal="left" vertical="center" wrapText="1" indent="1"/>
    </xf>
    <xf numFmtId="0" fontId="5" fillId="2" borderId="6" xfId="0" applyFont="1" applyFill="1" applyBorder="1" applyAlignment="1">
      <alignment horizontal="left" vertical="center" wrapText="1" indent="1"/>
    </xf>
    <xf numFmtId="0" fontId="14" fillId="0" borderId="0" xfId="0" applyFont="1" applyAlignment="1">
      <alignment horizontal="left"/>
    </xf>
    <xf numFmtId="0" fontId="26" fillId="0" borderId="0" xfId="0" applyFont="1"/>
    <xf numFmtId="0" fontId="19" fillId="0" borderId="25" xfId="0" applyFont="1" applyBorder="1" applyAlignment="1">
      <alignment horizontal="left" vertical="center" wrapText="1" indent="1"/>
    </xf>
    <xf numFmtId="0" fontId="11" fillId="0" borderId="4" xfId="0" applyFont="1" applyBorder="1" applyAlignment="1">
      <alignment horizontal="center" wrapText="1"/>
    </xf>
    <xf numFmtId="0" fontId="5" fillId="0" borderId="4" xfId="2" applyNumberFormat="1" applyFont="1" applyFill="1" applyBorder="1" applyAlignment="1">
      <alignment horizontal="left" vertical="center" wrapText="1" indent="1"/>
    </xf>
    <xf numFmtId="0" fontId="2" fillId="2" borderId="27" xfId="0" applyFont="1" applyFill="1" applyBorder="1" applyAlignment="1">
      <alignment horizontal="center"/>
    </xf>
    <xf numFmtId="164" fontId="14" fillId="0" borderId="0" xfId="0" applyNumberFormat="1" applyFont="1"/>
    <xf numFmtId="0" fontId="2" fillId="2" borderId="26" xfId="0" applyFont="1" applyFill="1" applyBorder="1" applyAlignment="1">
      <alignment horizontal="center"/>
    </xf>
    <xf numFmtId="0" fontId="14" fillId="2" borderId="8" xfId="0" applyFont="1" applyFill="1" applyBorder="1" applyAlignment="1">
      <alignment horizontal="left"/>
    </xf>
    <xf numFmtId="0" fontId="14" fillId="2" borderId="6" xfId="0" applyFont="1" applyFill="1" applyBorder="1" applyAlignment="1">
      <alignment horizontal="left"/>
    </xf>
    <xf numFmtId="0" fontId="2" fillId="2" borderId="10" xfId="0" applyFont="1" applyFill="1" applyBorder="1" applyAlignment="1">
      <alignment horizontal="center"/>
    </xf>
    <xf numFmtId="164" fontId="27" fillId="0" borderId="0" xfId="0" applyNumberFormat="1" applyFont="1"/>
    <xf numFmtId="0" fontId="19" fillId="0" borderId="28" xfId="0" applyFont="1" applyBorder="1" applyAlignment="1">
      <alignment horizontal="left" vertical="center" wrapText="1" indent="1"/>
    </xf>
    <xf numFmtId="0" fontId="5" fillId="0" borderId="0" xfId="0" applyFont="1" applyAlignment="1">
      <alignment horizontal="left" wrapText="1"/>
    </xf>
    <xf numFmtId="166" fontId="21" fillId="7" borderId="1" xfId="0" applyNumberFormat="1" applyFont="1" applyFill="1" applyBorder="1" applyAlignment="1">
      <alignment vertical="center"/>
    </xf>
    <xf numFmtId="164" fontId="21" fillId="7" borderId="1" xfId="6" applyNumberFormat="1" applyFont="1" applyFill="1" applyBorder="1" applyAlignment="1">
      <alignment vertical="center"/>
    </xf>
    <xf numFmtId="164" fontId="21" fillId="7" borderId="1" xfId="0" applyNumberFormat="1" applyFont="1" applyFill="1" applyBorder="1" applyAlignment="1">
      <alignment vertical="center"/>
    </xf>
    <xf numFmtId="164" fontId="0" fillId="7" borderId="1" xfId="0" applyNumberFormat="1" applyFill="1" applyBorder="1" applyAlignment="1">
      <alignment vertical="center"/>
    </xf>
    <xf numFmtId="0" fontId="0" fillId="7" borderId="0" xfId="0" applyFill="1"/>
    <xf numFmtId="0" fontId="6" fillId="2" borderId="8" xfId="0" applyFont="1" applyFill="1" applyBorder="1" applyAlignment="1">
      <alignment horizontal="center" vertical="top" wrapText="1"/>
    </xf>
    <xf numFmtId="164" fontId="2" fillId="9" borderId="6" xfId="0" applyNumberFormat="1" applyFont="1" applyFill="1" applyBorder="1" applyAlignment="1">
      <alignment vertical="center"/>
    </xf>
    <xf numFmtId="164" fontId="2" fillId="9" borderId="6" xfId="0" applyNumberFormat="1" applyFont="1" applyFill="1" applyBorder="1"/>
    <xf numFmtId="0" fontId="6" fillId="2" borderId="26" xfId="0" applyFont="1" applyFill="1" applyBorder="1" applyAlignment="1">
      <alignment vertical="top"/>
    </xf>
    <xf numFmtId="164" fontId="5" fillId="0" borderId="20" xfId="0" applyNumberFormat="1" applyFont="1" applyBorder="1"/>
    <xf numFmtId="0" fontId="5" fillId="0" borderId="20" xfId="0" applyFont="1" applyBorder="1"/>
    <xf numFmtId="164" fontId="5" fillId="0" borderId="20" xfId="2" applyNumberFormat="1" applyFont="1" applyFill="1" applyBorder="1" applyAlignment="1">
      <alignment vertical="top" wrapText="1"/>
    </xf>
    <xf numFmtId="164" fontId="17" fillId="0" borderId="0" xfId="0" applyNumberFormat="1" applyFont="1" applyAlignment="1">
      <alignment horizontal="left" vertical="top"/>
    </xf>
    <xf numFmtId="164" fontId="5" fillId="4" borderId="6" xfId="2" applyNumberFormat="1" applyFont="1" applyFill="1" applyBorder="1" applyAlignment="1">
      <alignment horizontal="left" vertical="center" wrapText="1" indent="1"/>
    </xf>
    <xf numFmtId="0" fontId="6" fillId="4" borderId="0" xfId="0" applyFont="1" applyFill="1" applyAlignment="1">
      <alignment vertical="top"/>
    </xf>
    <xf numFmtId="0" fontId="5" fillId="4" borderId="0" xfId="2" applyNumberFormat="1" applyFont="1" applyFill="1" applyBorder="1" applyAlignment="1">
      <alignment horizontal="left" vertical="center" wrapText="1" indent="1"/>
    </xf>
    <xf numFmtId="44" fontId="5" fillId="0" borderId="0" xfId="6" applyFont="1" applyFill="1" applyBorder="1" applyAlignment="1">
      <alignment horizontal="left"/>
    </xf>
    <xf numFmtId="0" fontId="5" fillId="0" borderId="0" xfId="0" applyFont="1" applyAlignment="1">
      <alignment horizontal="left" indent="1"/>
    </xf>
    <xf numFmtId="164" fontId="5" fillId="8" borderId="9" xfId="2" applyNumberFormat="1" applyFont="1" applyFill="1" applyBorder="1" applyAlignment="1">
      <alignment vertical="top" wrapText="1"/>
    </xf>
    <xf numFmtId="164" fontId="5" fillId="6" borderId="6" xfId="0" applyNumberFormat="1" applyFont="1" applyFill="1" applyBorder="1"/>
    <xf numFmtId="164" fontId="6" fillId="2" borderId="9" xfId="0" applyNumberFormat="1" applyFont="1" applyFill="1" applyBorder="1" applyAlignment="1">
      <alignment vertical="top" wrapText="1"/>
    </xf>
    <xf numFmtId="9" fontId="5" fillId="9" borderId="10" xfId="1" applyFont="1" applyFill="1" applyBorder="1" applyAlignment="1">
      <alignment horizontal="center" vertical="top"/>
    </xf>
    <xf numFmtId="9" fontId="5" fillId="0" borderId="19" xfId="1" applyFont="1" applyFill="1" applyBorder="1" applyAlignment="1">
      <alignment horizontal="center" vertical="top"/>
    </xf>
    <xf numFmtId="9" fontId="5" fillId="0" borderId="18" xfId="1" applyFont="1" applyFill="1" applyBorder="1" applyAlignment="1">
      <alignment horizontal="center" vertical="top"/>
    </xf>
    <xf numFmtId="9" fontId="5" fillId="0" borderId="10" xfId="1" applyFont="1" applyFill="1" applyBorder="1" applyAlignment="1">
      <alignment horizontal="center" vertical="top"/>
    </xf>
    <xf numFmtId="0" fontId="6" fillId="2" borderId="26" xfId="0" applyFont="1" applyFill="1" applyBorder="1" applyAlignment="1">
      <alignment horizontal="center" vertical="top" wrapText="1"/>
    </xf>
    <xf numFmtId="164" fontId="15" fillId="7" borderId="11" xfId="8" applyNumberFormat="1" applyFont="1" applyFill="1" applyBorder="1" applyAlignment="1">
      <alignment vertical="top" wrapText="1"/>
    </xf>
    <xf numFmtId="164" fontId="15" fillId="7" borderId="11" xfId="8" applyNumberFormat="1" applyFont="1" applyFill="1" applyBorder="1" applyAlignment="1">
      <alignment vertical="center" wrapText="1"/>
    </xf>
    <xf numFmtId="164" fontId="15" fillId="7" borderId="11" xfId="2" applyNumberFormat="1" applyFont="1" applyFill="1" applyBorder="1" applyAlignment="1">
      <alignment horizontal="center" vertical="top" wrapText="1"/>
    </xf>
    <xf numFmtId="0" fontId="6" fillId="4" borderId="29" xfId="0" applyFont="1" applyFill="1" applyBorder="1" applyAlignment="1">
      <alignment horizontal="right" vertical="top"/>
    </xf>
    <xf numFmtId="0" fontId="5" fillId="0" borderId="0" xfId="0" applyFont="1" applyAlignment="1">
      <alignment horizontal="left" vertical="top" indent="1"/>
    </xf>
    <xf numFmtId="0" fontId="5" fillId="0" borderId="12" xfId="0" applyFont="1" applyBorder="1" applyAlignment="1">
      <alignment horizontal="left" vertical="top" indent="1"/>
    </xf>
    <xf numFmtId="164" fontId="5" fillId="4" borderId="0" xfId="2" applyNumberFormat="1" applyFont="1" applyFill="1" applyBorder="1" applyAlignment="1">
      <alignment horizontal="left" vertical="center" wrapText="1" indent="1"/>
    </xf>
    <xf numFmtId="0" fontId="6" fillId="4" borderId="0" xfId="0" applyFont="1" applyFill="1" applyAlignment="1">
      <alignment horizontal="right" vertical="top"/>
    </xf>
    <xf numFmtId="0" fontId="21" fillId="0" borderId="0" xfId="0" applyFont="1" applyAlignment="1">
      <alignment wrapText="1"/>
    </xf>
    <xf numFmtId="0" fontId="15" fillId="0" borderId="0" xfId="0" applyFont="1" applyAlignment="1">
      <alignment wrapText="1"/>
    </xf>
    <xf numFmtId="0" fontId="24" fillId="0" borderId="0" xfId="0" applyFont="1" applyAlignment="1">
      <alignment horizontal="left"/>
    </xf>
    <xf numFmtId="0" fontId="24" fillId="0" borderId="0" xfId="0" applyFont="1"/>
    <xf numFmtId="0" fontId="25" fillId="0" borderId="0" xfId="0" applyFont="1" applyAlignment="1">
      <alignment horizontal="left"/>
    </xf>
    <xf numFmtId="44" fontId="1" fillId="0" borderId="1" xfId="0" applyNumberFormat="1" applyFont="1" applyBorder="1"/>
    <xf numFmtId="0" fontId="22" fillId="0" borderId="0" xfId="0" applyFont="1" applyAlignment="1">
      <alignment wrapText="1"/>
    </xf>
    <xf numFmtId="164" fontId="15" fillId="7" borderId="1" xfId="2" applyNumberFormat="1" applyFont="1" applyFill="1" applyBorder="1" applyAlignment="1">
      <alignment horizontal="center" vertical="top" wrapText="1"/>
    </xf>
    <xf numFmtId="3" fontId="29" fillId="0" borderId="0" xfId="0" applyNumberFormat="1" applyFont="1"/>
    <xf numFmtId="3" fontId="30" fillId="0" borderId="0" xfId="0" applyNumberFormat="1" applyFont="1"/>
    <xf numFmtId="164" fontId="0" fillId="3" borderId="1" xfId="6" applyNumberFormat="1" applyFont="1" applyFill="1" applyBorder="1" applyAlignment="1">
      <alignment vertical="center"/>
    </xf>
    <xf numFmtId="44" fontId="6" fillId="0" borderId="24" xfId="6" applyFont="1" applyFill="1" applyBorder="1" applyAlignment="1">
      <alignment horizontal="center" vertical="center"/>
    </xf>
    <xf numFmtId="164" fontId="15" fillId="7" borderId="1" xfId="8" applyNumberFormat="1" applyFont="1" applyFill="1" applyBorder="1" applyAlignment="1">
      <alignment horizontal="center" vertical="center" wrapText="1"/>
    </xf>
    <xf numFmtId="164" fontId="5" fillId="4" borderId="30" xfId="2" applyNumberFormat="1" applyFont="1" applyFill="1" applyBorder="1" applyAlignment="1">
      <alignment horizontal="left" vertical="center" wrapText="1" indent="1"/>
    </xf>
    <xf numFmtId="164" fontId="6" fillId="2" borderId="24" xfId="6" applyNumberFormat="1" applyFont="1" applyFill="1" applyBorder="1" applyAlignment="1">
      <alignment horizontal="center" vertical="center"/>
    </xf>
    <xf numFmtId="164" fontId="6" fillId="5" borderId="24" xfId="6" applyNumberFormat="1" applyFont="1" applyFill="1" applyBorder="1" applyAlignment="1">
      <alignment horizontal="center" vertical="center"/>
    </xf>
    <xf numFmtId="164" fontId="6" fillId="0" borderId="24" xfId="6" applyNumberFormat="1" applyFont="1" applyFill="1" applyBorder="1" applyAlignment="1">
      <alignment horizontal="center" vertical="center"/>
    </xf>
    <xf numFmtId="164" fontId="15" fillId="7" borderId="4" xfId="8" applyNumberFormat="1" applyFont="1" applyFill="1" applyBorder="1" applyAlignment="1">
      <alignment horizontal="center" vertical="center" wrapText="1"/>
    </xf>
    <xf numFmtId="164" fontId="15" fillId="7" borderId="4" xfId="2" applyNumberFormat="1" applyFont="1" applyFill="1" applyBorder="1" applyAlignment="1">
      <alignment horizontal="center" vertical="top" wrapText="1"/>
    </xf>
    <xf numFmtId="164" fontId="21" fillId="7" borderId="1" xfId="6" applyNumberFormat="1" applyFont="1" applyFill="1" applyBorder="1" applyAlignment="1">
      <alignment horizontal="right" vertical="center"/>
    </xf>
    <xf numFmtId="164" fontId="5" fillId="4" borderId="13" xfId="2" applyNumberFormat="1" applyFont="1" applyFill="1" applyBorder="1" applyAlignment="1">
      <alignment horizontal="left" vertical="center" wrapText="1" indent="1"/>
    </xf>
    <xf numFmtId="44" fontId="12" fillId="7" borderId="7" xfId="6" applyFont="1" applyFill="1" applyBorder="1" applyAlignment="1">
      <alignment horizontal="left" wrapText="1"/>
    </xf>
    <xf numFmtId="44" fontId="21" fillId="7" borderId="7" xfId="6" applyFont="1" applyFill="1" applyBorder="1"/>
    <xf numFmtId="164" fontId="10" fillId="0" borderId="11" xfId="0" applyNumberFormat="1" applyFont="1" applyBorder="1"/>
    <xf numFmtId="164" fontId="14" fillId="2" borderId="6" xfId="0" applyNumberFormat="1" applyFont="1" applyFill="1" applyBorder="1" applyAlignment="1">
      <alignment horizontal="center"/>
    </xf>
    <xf numFmtId="0" fontId="6" fillId="9" borderId="23" xfId="0" applyFont="1" applyFill="1" applyBorder="1" applyAlignment="1">
      <alignment horizontal="center"/>
    </xf>
    <xf numFmtId="164" fontId="6" fillId="9" borderId="24" xfId="6" applyNumberFormat="1" applyFont="1" applyFill="1" applyBorder="1" applyAlignment="1">
      <alignment horizontal="center" vertical="center"/>
    </xf>
    <xf numFmtId="0" fontId="6" fillId="4" borderId="30" xfId="0" applyFont="1" applyFill="1" applyBorder="1" applyAlignment="1">
      <alignment horizontal="right" vertical="top"/>
    </xf>
    <xf numFmtId="164" fontId="15" fillId="7" borderId="21" xfId="2" applyNumberFormat="1" applyFont="1" applyFill="1" applyBorder="1" applyAlignment="1">
      <alignment horizontal="center" vertical="top" wrapText="1"/>
    </xf>
    <xf numFmtId="164" fontId="0" fillId="7" borderId="1" xfId="6" applyNumberFormat="1" applyFont="1" applyFill="1" applyBorder="1" applyAlignment="1">
      <alignment vertical="center"/>
    </xf>
    <xf numFmtId="0" fontId="5" fillId="0" borderId="0" xfId="7" applyFont="1" applyAlignment="1">
      <alignment horizontal="left" vertical="center" wrapText="1" indent="1"/>
    </xf>
    <xf numFmtId="44" fontId="11" fillId="7" borderId="12" xfId="6" applyFont="1" applyFill="1" applyBorder="1" applyAlignment="1">
      <alignment horizontal="left" vertical="center" wrapText="1"/>
    </xf>
    <xf numFmtId="0" fontId="0" fillId="0" borderId="0" xfId="0" applyAlignment="1">
      <alignment wrapText="1"/>
    </xf>
    <xf numFmtId="0" fontId="11" fillId="0" borderId="37" xfId="0" applyFont="1" applyBorder="1" applyAlignment="1">
      <alignment horizontal="center" wrapText="1"/>
    </xf>
    <xf numFmtId="164" fontId="10" fillId="0" borderId="21" xfId="0" applyNumberFormat="1" applyFont="1" applyBorder="1" applyAlignment="1">
      <alignment horizontal="left" wrapText="1"/>
    </xf>
    <xf numFmtId="164" fontId="15" fillId="7" borderId="25" xfId="2" applyNumberFormat="1" applyFont="1" applyFill="1" applyBorder="1" applyAlignment="1">
      <alignment horizontal="center" vertical="top" wrapText="1"/>
    </xf>
    <xf numFmtId="164" fontId="15" fillId="7" borderId="34" xfId="2" applyNumberFormat="1" applyFont="1" applyFill="1" applyBorder="1" applyAlignment="1">
      <alignment horizontal="center" vertical="top" wrapText="1"/>
    </xf>
    <xf numFmtId="44" fontId="0" fillId="7" borderId="1" xfId="6" applyFont="1" applyFill="1" applyBorder="1" applyAlignment="1">
      <alignment vertical="center"/>
    </xf>
    <xf numFmtId="44" fontId="1" fillId="7" borderId="1" xfId="6" applyFont="1" applyFill="1" applyBorder="1" applyAlignment="1">
      <alignment vertical="center"/>
    </xf>
    <xf numFmtId="164" fontId="5" fillId="7" borderId="7" xfId="0" applyNumberFormat="1" applyFont="1" applyFill="1" applyBorder="1"/>
    <xf numFmtId="167" fontId="0" fillId="0" borderId="0" xfId="8" applyNumberFormat="1" applyFont="1"/>
    <xf numFmtId="164" fontId="0" fillId="0" borderId="0" xfId="6" applyNumberFormat="1" applyFont="1" applyFill="1"/>
    <xf numFmtId="164" fontId="0" fillId="0" borderId="0" xfId="6" applyNumberFormat="1" applyFont="1"/>
    <xf numFmtId="0" fontId="5" fillId="0" borderId="11" xfId="0" applyFont="1" applyBorder="1" applyAlignment="1">
      <alignment horizontal="left" vertical="top" indent="1"/>
    </xf>
    <xf numFmtId="0" fontId="5" fillId="0" borderId="1" xfId="0" applyFont="1" applyBorder="1" applyAlignment="1">
      <alignment horizontal="left" vertical="top" indent="1"/>
    </xf>
    <xf numFmtId="0" fontId="28" fillId="0" borderId="1" xfId="0" applyFont="1" applyBorder="1" applyAlignment="1">
      <alignment vertical="center"/>
    </xf>
    <xf numFmtId="0" fontId="5" fillId="0" borderId="4" xfId="0" applyFont="1" applyBorder="1" applyAlignment="1">
      <alignment horizontal="left" vertical="center" indent="1"/>
    </xf>
    <xf numFmtId="0" fontId="5" fillId="0" borderId="4" xfId="0" applyFont="1" applyBorder="1" applyAlignment="1">
      <alignment horizontal="left" vertical="top" indent="1"/>
    </xf>
    <xf numFmtId="0" fontId="5" fillId="0" borderId="1" xfId="0" applyFont="1" applyBorder="1" applyAlignment="1">
      <alignment horizontal="left" vertical="center" indent="1"/>
    </xf>
    <xf numFmtId="0" fontId="5" fillId="0" borderId="33" xfId="0" applyFont="1" applyBorder="1" applyAlignment="1">
      <alignment horizontal="left" vertical="top" indent="1"/>
    </xf>
    <xf numFmtId="0" fontId="5" fillId="0" borderId="32" xfId="0" applyFont="1" applyBorder="1" applyAlignment="1">
      <alignment horizontal="left" vertical="top" indent="1"/>
    </xf>
    <xf numFmtId="0" fontId="5" fillId="0" borderId="21" xfId="0" applyFont="1" applyBorder="1" applyAlignment="1">
      <alignment horizontal="left" vertical="top" indent="1"/>
    </xf>
    <xf numFmtId="164" fontId="5" fillId="0" borderId="5" xfId="2" applyNumberFormat="1" applyFont="1" applyFill="1" applyBorder="1" applyAlignment="1">
      <alignment horizontal="left" vertical="center" wrapText="1" indent="1"/>
    </xf>
    <xf numFmtId="164" fontId="5" fillId="0" borderId="30" xfId="2" applyNumberFormat="1" applyFont="1" applyFill="1" applyBorder="1" applyAlignment="1">
      <alignment horizontal="left" vertical="center" wrapText="1" indent="1"/>
    </xf>
    <xf numFmtId="0" fontId="6" fillId="0" borderId="30" xfId="0" applyFont="1" applyBorder="1" applyAlignment="1">
      <alignment horizontal="right" vertical="top"/>
    </xf>
    <xf numFmtId="164" fontId="15" fillId="7" borderId="33" xfId="2" applyNumberFormat="1" applyFont="1" applyFill="1" applyBorder="1" applyAlignment="1">
      <alignment horizontal="center" vertical="top" wrapText="1"/>
    </xf>
    <xf numFmtId="14" fontId="5" fillId="0" borderId="1" xfId="0" applyNumberFormat="1" applyFont="1" applyBorder="1" applyAlignment="1">
      <alignment horizontal="left" vertical="top" indent="1"/>
    </xf>
    <xf numFmtId="0" fontId="5" fillId="0" borderId="2" xfId="0" applyFont="1" applyBorder="1" applyAlignment="1">
      <alignment horizontal="left" vertical="top" indent="1"/>
    </xf>
    <xf numFmtId="14" fontId="0" fillId="0" borderId="0" xfId="0" applyNumberFormat="1"/>
    <xf numFmtId="44" fontId="0" fillId="7" borderId="1" xfId="6" applyFont="1" applyFill="1" applyBorder="1"/>
    <xf numFmtId="164" fontId="15" fillId="7" borderId="21" xfId="8" applyNumberFormat="1" applyFont="1" applyFill="1" applyBorder="1" applyAlignment="1">
      <alignment horizontal="center" vertical="center"/>
    </xf>
    <xf numFmtId="0" fontId="6" fillId="2" borderId="5" xfId="0" applyFont="1" applyFill="1" applyBorder="1" applyAlignment="1">
      <alignment horizontal="center" vertical="top"/>
    </xf>
    <xf numFmtId="0" fontId="5" fillId="0" borderId="39" xfId="0" applyFont="1" applyBorder="1" applyAlignment="1">
      <alignment horizontal="left" vertical="top" indent="1"/>
    </xf>
    <xf numFmtId="0" fontId="5" fillId="0" borderId="21" xfId="0" applyFont="1" applyBorder="1" applyAlignment="1">
      <alignment horizontal="left" vertical="center" indent="1"/>
    </xf>
    <xf numFmtId="44" fontId="21" fillId="10" borderId="11" xfId="6" applyFont="1" applyFill="1" applyBorder="1" applyAlignment="1">
      <alignment vertical="center"/>
    </xf>
    <xf numFmtId="44" fontId="21" fillId="10" borderId="3" xfId="6" applyFont="1" applyFill="1" applyBorder="1" applyAlignment="1">
      <alignment vertical="center"/>
    </xf>
    <xf numFmtId="164" fontId="2" fillId="2" borderId="6" xfId="0" applyNumberFormat="1" applyFont="1" applyFill="1" applyBorder="1" applyAlignment="1">
      <alignment horizontal="left" vertical="center"/>
    </xf>
    <xf numFmtId="44" fontId="21" fillId="10" borderId="1" xfId="6" applyFont="1" applyFill="1" applyBorder="1" applyAlignment="1">
      <alignment vertical="center"/>
    </xf>
    <xf numFmtId="164" fontId="15" fillId="7" borderId="7" xfId="2" applyNumberFormat="1" applyFont="1" applyFill="1" applyBorder="1" applyAlignment="1">
      <alignment vertical="top" wrapText="1"/>
    </xf>
    <xf numFmtId="164" fontId="5" fillId="0" borderId="9" xfId="2" applyNumberFormat="1" applyFont="1" applyFill="1" applyBorder="1" applyAlignment="1">
      <alignment vertical="top" wrapText="1"/>
    </xf>
    <xf numFmtId="164" fontId="5" fillId="0" borderId="6" xfId="2" applyNumberFormat="1" applyFont="1" applyFill="1" applyBorder="1" applyAlignment="1">
      <alignment horizontal="left" vertical="center" wrapText="1" indent="1"/>
    </xf>
    <xf numFmtId="44" fontId="21" fillId="7" borderId="11" xfId="6" applyFont="1" applyFill="1" applyBorder="1" applyAlignment="1">
      <alignment vertical="center"/>
    </xf>
    <xf numFmtId="44" fontId="11" fillId="7" borderId="11" xfId="6" applyFont="1" applyFill="1" applyBorder="1" applyAlignment="1">
      <alignment horizontal="center" vertical="center" wrapText="1"/>
    </xf>
    <xf numFmtId="44" fontId="11" fillId="7" borderId="1" xfId="6" applyFont="1" applyFill="1" applyBorder="1" applyAlignment="1">
      <alignment horizontal="center" vertical="center" wrapText="1"/>
    </xf>
    <xf numFmtId="44" fontId="12" fillId="7" borderId="11" xfId="6" applyFont="1" applyFill="1" applyBorder="1" applyAlignment="1">
      <alignment horizontal="left" vertical="center" wrapText="1"/>
    </xf>
    <xf numFmtId="44" fontId="21" fillId="7" borderId="3" xfId="6" applyFont="1" applyFill="1" applyBorder="1" applyAlignment="1">
      <alignment vertical="center"/>
    </xf>
    <xf numFmtId="44" fontId="11" fillId="7" borderId="21" xfId="6" applyFont="1" applyFill="1" applyBorder="1" applyAlignment="1">
      <alignment horizontal="center" vertical="center" wrapText="1"/>
    </xf>
    <xf numFmtId="44" fontId="21" fillId="7" borderId="3" xfId="6" applyFont="1" applyFill="1" applyBorder="1"/>
    <xf numFmtId="44" fontId="11" fillId="7" borderId="1" xfId="6" applyFont="1" applyFill="1" applyBorder="1" applyAlignment="1">
      <alignment horizontal="left" vertical="center" wrapText="1"/>
    </xf>
    <xf numFmtId="164" fontId="6" fillId="0" borderId="36" xfId="2" applyNumberFormat="1" applyFont="1" applyFill="1" applyBorder="1" applyAlignment="1">
      <alignment horizontal="left" vertical="center" wrapText="1" indent="1"/>
    </xf>
    <xf numFmtId="0" fontId="5" fillId="0" borderId="4" xfId="0" applyFont="1" applyBorder="1" applyAlignment="1">
      <alignment horizontal="left" vertical="center" indent="1"/>
    </xf>
    <xf numFmtId="0" fontId="5" fillId="0" borderId="12" xfId="0" applyFont="1" applyBorder="1" applyAlignment="1">
      <alignment horizontal="left" vertical="center" indent="1"/>
    </xf>
    <xf numFmtId="0" fontId="5" fillId="0" borderId="11" xfId="0" applyFont="1" applyBorder="1" applyAlignment="1">
      <alignment horizontal="left" vertical="center" indent="1"/>
    </xf>
    <xf numFmtId="164" fontId="15" fillId="7" borderId="1" xfId="8" applyNumberFormat="1" applyFont="1" applyFill="1" applyBorder="1" applyAlignment="1">
      <alignment horizontal="center" vertical="center"/>
    </xf>
    <xf numFmtId="0" fontId="5" fillId="0" borderId="24" xfId="0" applyFont="1" applyBorder="1" applyAlignment="1">
      <alignment horizontal="left" vertical="center" indent="1"/>
    </xf>
    <xf numFmtId="164" fontId="15" fillId="7" borderId="12" xfId="8" applyNumberFormat="1" applyFont="1" applyFill="1" applyBorder="1" applyAlignment="1">
      <alignment horizontal="center" vertical="center" wrapText="1"/>
    </xf>
    <xf numFmtId="164" fontId="15" fillId="7" borderId="24" xfId="8" applyNumberFormat="1" applyFont="1" applyFill="1" applyBorder="1" applyAlignment="1">
      <alignment horizontal="center" vertical="center" wrapText="1"/>
    </xf>
    <xf numFmtId="164" fontId="15" fillId="7" borderId="4" xfId="8" applyNumberFormat="1" applyFont="1" applyFill="1" applyBorder="1" applyAlignment="1">
      <alignment horizontal="center" vertical="center" wrapText="1"/>
    </xf>
    <xf numFmtId="164" fontId="15" fillId="7" borderId="11" xfId="8" applyNumberFormat="1" applyFont="1" applyFill="1" applyBorder="1" applyAlignment="1">
      <alignment horizontal="center" vertical="center" wrapText="1"/>
    </xf>
    <xf numFmtId="0" fontId="5" fillId="0" borderId="1" xfId="0" applyFont="1" applyBorder="1" applyAlignment="1">
      <alignment horizontal="left" vertical="center" indent="1"/>
    </xf>
    <xf numFmtId="0" fontId="5" fillId="0" borderId="38" xfId="0" applyFont="1" applyBorder="1" applyAlignment="1">
      <alignment horizontal="left" vertical="center" indent="1"/>
    </xf>
    <xf numFmtId="0" fontId="5" fillId="0" borderId="0" xfId="0" applyFont="1" applyAlignment="1">
      <alignment horizontal="left" vertical="center" indent="1"/>
    </xf>
    <xf numFmtId="0" fontId="5" fillId="0" borderId="39" xfId="0" applyFont="1" applyBorder="1" applyAlignment="1">
      <alignment horizontal="left" vertical="center" indent="1"/>
    </xf>
    <xf numFmtId="164" fontId="15" fillId="7" borderId="4" xfId="8" applyNumberFormat="1" applyFont="1" applyFill="1" applyBorder="1" applyAlignment="1">
      <alignment horizontal="center" vertical="center"/>
    </xf>
    <xf numFmtId="164" fontId="15" fillId="7" borderId="12" xfId="8" applyNumberFormat="1" applyFont="1" applyFill="1" applyBorder="1" applyAlignment="1">
      <alignment horizontal="center" vertical="center"/>
    </xf>
    <xf numFmtId="164" fontId="15" fillId="7" borderId="11" xfId="8" applyNumberFormat="1" applyFont="1" applyFill="1" applyBorder="1" applyAlignment="1">
      <alignment horizontal="center" vertical="center"/>
    </xf>
    <xf numFmtId="164" fontId="15" fillId="7" borderId="1" xfId="8" applyNumberFormat="1" applyFont="1" applyFill="1" applyBorder="1" applyAlignment="1">
      <alignment horizontal="center" vertical="center" wrapText="1"/>
    </xf>
    <xf numFmtId="164" fontId="15" fillId="7" borderId="33" xfId="8" applyNumberFormat="1" applyFont="1" applyFill="1" applyBorder="1" applyAlignment="1">
      <alignment horizontal="center" vertical="center" wrapText="1"/>
    </xf>
    <xf numFmtId="0" fontId="5" fillId="0" borderId="34" xfId="0" applyFont="1" applyBorder="1" applyAlignment="1">
      <alignment horizontal="left" vertical="center" indent="1"/>
    </xf>
    <xf numFmtId="0" fontId="5" fillId="0" borderId="7" xfId="0" applyFont="1" applyBorder="1" applyAlignment="1">
      <alignment horizontal="left" vertical="center" indent="1"/>
    </xf>
    <xf numFmtId="164" fontId="15" fillId="7" borderId="32" xfId="8" applyNumberFormat="1" applyFont="1" applyFill="1" applyBorder="1" applyAlignment="1">
      <alignment horizontal="center" vertical="center" wrapText="1"/>
    </xf>
    <xf numFmtId="164" fontId="15" fillId="7" borderId="40" xfId="8" applyNumberFormat="1" applyFont="1" applyFill="1" applyBorder="1" applyAlignment="1">
      <alignment horizontal="center" vertical="center" wrapText="1"/>
    </xf>
    <xf numFmtId="164" fontId="15" fillId="7" borderId="3" xfId="8" applyNumberFormat="1" applyFont="1" applyFill="1" applyBorder="1" applyAlignment="1">
      <alignment horizontal="center" vertical="center" wrapText="1"/>
    </xf>
    <xf numFmtId="164" fontId="15" fillId="7" borderId="1" xfId="8" applyNumberFormat="1" applyFont="1" applyFill="1" applyBorder="1" applyAlignment="1">
      <alignment horizontal="left" vertical="center" wrapText="1"/>
    </xf>
    <xf numFmtId="0" fontId="5" fillId="0" borderId="20" xfId="0" applyFont="1" applyBorder="1" applyAlignment="1">
      <alignment horizontal="left" vertical="center" indent="1"/>
    </xf>
    <xf numFmtId="0" fontId="5" fillId="0" borderId="35" xfId="0" applyFont="1" applyBorder="1" applyAlignment="1">
      <alignment horizontal="left" vertical="center" indent="1"/>
    </xf>
    <xf numFmtId="164" fontId="15" fillId="7" borderId="21" xfId="8" applyNumberFormat="1" applyFont="1" applyFill="1" applyBorder="1" applyAlignment="1">
      <alignment horizontal="center" vertical="center" wrapText="1"/>
    </xf>
    <xf numFmtId="164" fontId="15" fillId="7" borderId="12" xfId="8" applyNumberFormat="1" applyFont="1" applyFill="1" applyBorder="1" applyAlignment="1">
      <alignment horizontal="left" vertical="center" wrapText="1"/>
    </xf>
    <xf numFmtId="0" fontId="19" fillId="0" borderId="31" xfId="0" applyFont="1" applyBorder="1" applyAlignment="1">
      <alignment horizontal="left" vertical="center" wrapText="1"/>
    </xf>
    <xf numFmtId="0" fontId="19" fillId="0" borderId="0" xfId="0" applyFont="1" applyAlignment="1">
      <alignment horizontal="left" vertical="center" wrapText="1"/>
    </xf>
    <xf numFmtId="0" fontId="0" fillId="0" borderId="0" xfId="0" applyAlignment="1">
      <alignment horizontal="center"/>
    </xf>
  </cellXfs>
  <cellStyles count="10">
    <cellStyle name="Comma" xfId="8" builtinId="3"/>
    <cellStyle name="Currency" xfId="6" builtinId="4"/>
    <cellStyle name="Currency 2" xfId="2" xr:uid="{00000000-0005-0000-0000-000001000000}"/>
    <cellStyle name="Currency 4" xfId="5" xr:uid="{00000000-0005-0000-0000-000002000000}"/>
    <cellStyle name="Normal" xfId="0" builtinId="0"/>
    <cellStyle name="Normal 2" xfId="7" xr:uid="{51EDD1D5-8F29-4130-B84D-F9386ACE5AA9}"/>
    <cellStyle name="Normal 2 2 2" xfId="9" xr:uid="{926DCE92-27F3-4FFC-BDDF-07BD59B8CC7B}"/>
    <cellStyle name="Normal 3 2" xfId="4" xr:uid="{00000000-0005-0000-0000-000004000000}"/>
    <cellStyle name="Normal 79" xfId="3" xr:uid="{00000000-0005-0000-0000-000005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AER%20Data%20Check%20Notes_MASTER%20FILE.xlsx" TargetMode="External"/><Relationship Id="rId2" Type="http://schemas.openxmlformats.org/officeDocument/2006/relationships/externalLinkPath" Target="file:///S:\PROJ-FILES\SOMAH00\Reporting\Semi-Annual%20Expense%20Report\SAER%20Data%20Check%20Notes_MASTER%20FILE.xlsx" TargetMode="External"/><Relationship Id="rId1" Type="http://schemas.openxmlformats.org/officeDocument/2006/relationships/externalLinkPath" Target="/PROJ-FILES/SOMAH00/Reporting/Semi-Annual%20Expense%20Report/SAER%20Data%20Check%20Notes_MASTER%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18"/>
      <sheetName val="Q1 2019"/>
      <sheetName val="Q2-Q4 2019"/>
      <sheetName val="Q1-Q2 2020"/>
      <sheetName val="Q3-Q4 2020"/>
      <sheetName val="Q1-Q2 2021"/>
      <sheetName val="Q3-Q4 2021"/>
      <sheetName val="Q1-Q2 2022"/>
      <sheetName val="Q3-Q4 2022"/>
      <sheetName val="Q1-Q2 2023"/>
      <sheetName val="Q3-Q4 2023"/>
      <sheetName val="Q1-Q2 2024"/>
      <sheetName val="Q3-Q4 2024"/>
      <sheetName val="Q1-Q2 2025"/>
      <sheetName val="Q3-Q4 2025"/>
      <sheetName val="Q1-Q2 2026"/>
      <sheetName val="blank template"/>
      <sheetName val="instructions"/>
    </sheetNames>
    <sheetDataSet>
      <sheetData sheetId="0">
        <row r="7">
          <cell r="AQ7">
            <v>447264.94000000006</v>
          </cell>
        </row>
        <row r="38">
          <cell r="AQ38">
            <v>12742.77</v>
          </cell>
        </row>
        <row r="39">
          <cell r="AQ39">
            <v>8715.9699999999993</v>
          </cell>
        </row>
        <row r="40">
          <cell r="AQ40">
            <v>590.73</v>
          </cell>
        </row>
        <row r="41">
          <cell r="AQ41">
            <v>0</v>
          </cell>
        </row>
        <row r="42">
          <cell r="AQ42">
            <v>0</v>
          </cell>
        </row>
        <row r="43">
          <cell r="AQ43">
            <v>0</v>
          </cell>
        </row>
      </sheetData>
      <sheetData sheetId="1">
        <row r="7">
          <cell r="W7">
            <v>510287.48249999998</v>
          </cell>
        </row>
      </sheetData>
      <sheetData sheetId="2">
        <row r="6">
          <cell r="AT6">
            <v>81812.935000000012</v>
          </cell>
        </row>
        <row r="38">
          <cell r="AT38">
            <v>121193.595</v>
          </cell>
        </row>
        <row r="39">
          <cell r="AT39">
            <v>16305.514999999999</v>
          </cell>
        </row>
        <row r="40">
          <cell r="AT40">
            <v>7934.9900000000007</v>
          </cell>
        </row>
        <row r="41">
          <cell r="AT41">
            <v>36512.4375</v>
          </cell>
        </row>
        <row r="42">
          <cell r="AT42">
            <v>5154.8600000000006</v>
          </cell>
        </row>
        <row r="43">
          <cell r="AT43">
            <v>46195.170000000006</v>
          </cell>
        </row>
        <row r="44">
          <cell r="AT44">
            <v>858.27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6">
          <cell r="AH6">
            <v>70400.253000000012</v>
          </cell>
        </row>
      </sheetData>
      <sheetData sheetId="13">
        <row r="6">
          <cell r="AH6">
            <v>67267.599999999991</v>
          </cell>
        </row>
      </sheetData>
      <sheetData sheetId="14">
        <row r="6">
          <cell r="AH6">
            <v>60910.069999999992</v>
          </cell>
        </row>
      </sheetData>
      <sheetData sheetId="15">
        <row r="6">
          <cell r="AH6">
            <v>64974.35</v>
          </cell>
        </row>
      </sheetData>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
  <sheetViews>
    <sheetView tabSelected="1" zoomScaleNormal="100" workbookViewId="0">
      <pane xSplit="2" topLeftCell="C1" activePane="topRight" state="frozen"/>
      <selection pane="topRight" activeCell="K13" sqref="K13"/>
    </sheetView>
  </sheetViews>
  <sheetFormatPr defaultColWidth="9.140625" defaultRowHeight="12.75" x14ac:dyDescent="0.2"/>
  <cols>
    <col min="1" max="1" width="43.42578125" style="6" customWidth="1"/>
    <col min="2" max="2" width="26" style="6" customWidth="1"/>
    <col min="3" max="18" width="18.140625" style="6" customWidth="1"/>
    <col min="19" max="19" width="15" style="6" bestFit="1" customWidth="1"/>
    <col min="20" max="20" width="19.42578125" style="6" bestFit="1" customWidth="1"/>
    <col min="21" max="21" width="12.140625" style="6" bestFit="1" customWidth="1"/>
    <col min="22" max="22" width="9.140625" style="6"/>
    <col min="23" max="23" width="12.140625" style="6" bestFit="1" customWidth="1"/>
    <col min="24" max="24" width="12.42578125" style="6" customWidth="1"/>
    <col min="25" max="25" width="9.140625" style="6"/>
    <col min="26" max="26" width="9.42578125" style="6" bestFit="1" customWidth="1"/>
    <col min="27" max="27" width="15.140625" style="6" bestFit="1" customWidth="1"/>
    <col min="28" max="16384" width="9.140625" style="6"/>
  </cols>
  <sheetData>
    <row r="1" spans="1:21" s="2" customFormat="1" ht="15.75" x14ac:dyDescent="0.25">
      <c r="A1" s="117" t="s">
        <v>0</v>
      </c>
      <c r="B1" s="1"/>
      <c r="S1" s="3"/>
      <c r="T1" s="4"/>
      <c r="U1" s="4"/>
    </row>
    <row r="2" spans="1:21" s="2" customFormat="1" ht="15.75" x14ac:dyDescent="0.25">
      <c r="A2" s="167" t="s">
        <v>376</v>
      </c>
      <c r="B2" s="5"/>
      <c r="C2" s="6"/>
      <c r="D2" s="5"/>
      <c r="E2" s="5"/>
      <c r="F2" s="5"/>
      <c r="G2" s="5"/>
      <c r="H2" s="5"/>
      <c r="I2" s="6"/>
      <c r="J2" s="6"/>
      <c r="K2" s="6"/>
      <c r="L2" s="6"/>
      <c r="M2" s="6"/>
      <c r="U2" s="4"/>
    </row>
    <row r="3" spans="1:21" s="2" customFormat="1" ht="15.75" x14ac:dyDescent="0.25">
      <c r="A3" s="168" t="s">
        <v>377</v>
      </c>
      <c r="B3" s="5"/>
      <c r="C3" s="6"/>
      <c r="D3" s="5"/>
      <c r="E3" s="5"/>
      <c r="F3" s="5"/>
      <c r="G3" s="5"/>
      <c r="H3" s="5"/>
      <c r="I3" s="6"/>
      <c r="J3" s="6"/>
      <c r="K3" s="6"/>
      <c r="L3" s="6"/>
      <c r="M3" s="6"/>
      <c r="U3" s="4"/>
    </row>
    <row r="4" spans="1:21" s="2" customFormat="1" ht="15.75" x14ac:dyDescent="0.25">
      <c r="B4" s="6"/>
      <c r="C4" s="6"/>
      <c r="D4" s="6"/>
      <c r="E4" s="29"/>
      <c r="F4" s="29"/>
      <c r="G4" s="5"/>
      <c r="H4" s="5"/>
      <c r="I4" s="6"/>
      <c r="J4" s="6"/>
      <c r="K4" s="6"/>
      <c r="L4" s="6"/>
      <c r="M4" s="6"/>
      <c r="U4" s="4"/>
    </row>
    <row r="5" spans="1:21" ht="13.5" thickBot="1" x14ac:dyDescent="0.25">
      <c r="A5" s="23" t="s">
        <v>1</v>
      </c>
    </row>
    <row r="6" spans="1:21" ht="26.25" thickBot="1" x14ac:dyDescent="0.25">
      <c r="A6" s="43" t="s">
        <v>2</v>
      </c>
      <c r="B6" s="34" t="s">
        <v>3</v>
      </c>
      <c r="C6" s="34">
        <v>2018</v>
      </c>
      <c r="D6" s="34">
        <v>2019</v>
      </c>
      <c r="E6" s="34">
        <v>2020</v>
      </c>
      <c r="F6" s="34">
        <v>2021</v>
      </c>
      <c r="G6" s="34">
        <v>2022</v>
      </c>
      <c r="H6" s="34">
        <v>2023</v>
      </c>
      <c r="I6" s="34">
        <v>2024</v>
      </c>
      <c r="J6" s="34">
        <v>2025</v>
      </c>
      <c r="K6" s="34">
        <v>2026</v>
      </c>
      <c r="L6" s="34">
        <v>2027</v>
      </c>
      <c r="M6" s="34">
        <v>2028</v>
      </c>
      <c r="N6" s="34">
        <v>2029</v>
      </c>
      <c r="O6" s="34">
        <v>2030</v>
      </c>
      <c r="P6" s="34">
        <v>2031</v>
      </c>
      <c r="Q6" s="34">
        <v>2032</v>
      </c>
      <c r="R6" s="62" t="s">
        <v>4</v>
      </c>
      <c r="S6" s="35" t="s">
        <v>5</v>
      </c>
      <c r="T6" s="31" t="s">
        <v>6</v>
      </c>
    </row>
    <row r="7" spans="1:21" ht="25.5" x14ac:dyDescent="0.2">
      <c r="A7" s="105" t="s">
        <v>7</v>
      </c>
      <c r="B7" s="114" t="s">
        <v>8</v>
      </c>
      <c r="C7" s="33">
        <f>'3. SOMAH Program Admin'!C16</f>
        <v>1887479.05</v>
      </c>
      <c r="D7" s="33">
        <f>SUM('3. SOMAH Program Admin'!D16+'3. SOMAH Program Admin'!C34)</f>
        <v>3368586.3720000014</v>
      </c>
      <c r="E7" s="33">
        <f>'3. SOMAH Program Admin'!D34</f>
        <v>4007489.2824000027</v>
      </c>
      <c r="F7" s="33">
        <f>'3. SOMAH Program Admin'!E34</f>
        <v>3819534.1608076734</v>
      </c>
      <c r="G7" s="33">
        <f>'3. SOMAH Program Admin'!F34</f>
        <v>3708070.1409267485</v>
      </c>
      <c r="H7" s="33">
        <f>'3. SOMAH Program Admin'!G34</f>
        <v>3609332.625500001</v>
      </c>
      <c r="I7" s="33">
        <f>'3. SOMAH Program Admin'!H34</f>
        <v>3435812.7578999992</v>
      </c>
      <c r="J7" s="33">
        <f>'3. SOMAH Program Admin'!I34</f>
        <v>3371175</v>
      </c>
      <c r="K7" s="33">
        <f>'3. SOMAH Program Admin'!J34</f>
        <v>1624697.6474999995</v>
      </c>
      <c r="L7" s="33">
        <f>'3. SOMAH Program Admin'!K34</f>
        <v>0</v>
      </c>
      <c r="M7" s="33">
        <f>'3. SOMAH Program Admin'!L34</f>
        <v>0</v>
      </c>
      <c r="N7" s="33">
        <f>'3. SOMAH Program Admin'!M34</f>
        <v>0</v>
      </c>
      <c r="O7" s="33">
        <f>'3. SOMAH Program Admin'!N34</f>
        <v>0</v>
      </c>
      <c r="P7" s="33">
        <f>'3. SOMAH Program Admin'!O34</f>
        <v>0</v>
      </c>
      <c r="Q7" s="33">
        <f>'3. SOMAH Program Admin'!P34</f>
        <v>0</v>
      </c>
      <c r="R7" s="63">
        <f>SUM(C7:Q7)</f>
        <v>28832177.037034426</v>
      </c>
      <c r="S7" s="42"/>
      <c r="T7" s="153">
        <f>R7/'2. Program Funding'!N34</f>
        <v>0.30162959069461542</v>
      </c>
    </row>
    <row r="8" spans="1:21" ht="25.5" x14ac:dyDescent="0.2">
      <c r="A8" s="106" t="s">
        <v>9</v>
      </c>
      <c r="B8" s="114" t="s">
        <v>10</v>
      </c>
      <c r="C8" s="7">
        <f>'4. SOMAH Marketing &amp; Outreach'!C16</f>
        <v>412041</v>
      </c>
      <c r="D8" s="7">
        <f>SUM('4. SOMAH Marketing &amp; Outreach'!D16+'4. SOMAH Marketing &amp; Outreach'!C34)</f>
        <v>1685661.96</v>
      </c>
      <c r="E8" s="7">
        <f>'4. SOMAH Marketing &amp; Outreach'!D34</f>
        <v>2158198.0299987001</v>
      </c>
      <c r="F8" s="7">
        <f>'4. SOMAH Marketing &amp; Outreach'!E34</f>
        <v>2817200.1891806237</v>
      </c>
      <c r="G8" s="7">
        <f>'4. SOMAH Marketing &amp; Outreach'!F34</f>
        <v>3235065.3123963992</v>
      </c>
      <c r="H8" s="7">
        <f>'4. SOMAH Marketing &amp; Outreach'!G34</f>
        <v>2895156.1754999994</v>
      </c>
      <c r="I8" s="7">
        <f>'4. SOMAH Marketing &amp; Outreach'!H34</f>
        <v>2470889.7749999999</v>
      </c>
      <c r="J8" s="7">
        <f>'4. SOMAH Marketing &amp; Outreach'!I34</f>
        <v>2039649.5799999994</v>
      </c>
      <c r="K8" s="7">
        <f>'4. SOMAH Marketing &amp; Outreach'!J34</f>
        <v>936268.24250000005</v>
      </c>
      <c r="L8" s="7">
        <f>'4. SOMAH Marketing &amp; Outreach'!K34</f>
        <v>0</v>
      </c>
      <c r="M8" s="7">
        <f>'4. SOMAH Marketing &amp; Outreach'!L34</f>
        <v>0</v>
      </c>
      <c r="N8" s="7">
        <f>'4. SOMAH Marketing &amp; Outreach'!M34</f>
        <v>0</v>
      </c>
      <c r="O8" s="7">
        <f>'4. SOMAH Marketing &amp; Outreach'!N34</f>
        <v>0</v>
      </c>
      <c r="P8" s="7">
        <f>'4. SOMAH Marketing &amp; Outreach'!O34</f>
        <v>0</v>
      </c>
      <c r="Q8" s="7">
        <f>'4. SOMAH Marketing &amp; Outreach'!P34</f>
        <v>0</v>
      </c>
      <c r="R8" s="64">
        <f>SUM(C8:Q8)</f>
        <v>18650130.264575724</v>
      </c>
      <c r="S8" s="42"/>
      <c r="T8" s="153">
        <f>R8/'2. Program Funding'!N34</f>
        <v>0.19510948309173698</v>
      </c>
    </row>
    <row r="9" spans="1:21" ht="25.5" x14ac:dyDescent="0.2">
      <c r="A9" s="106" t="s">
        <v>11</v>
      </c>
      <c r="B9" s="114" t="s">
        <v>12</v>
      </c>
      <c r="C9" s="7">
        <f>'5. SOMAH Workforce Development'!C14</f>
        <v>22049.47</v>
      </c>
      <c r="D9" s="7">
        <f>SUM('5. SOMAH Workforce Development'!D14+'5. SOMAH Workforce Development'!C26)</f>
        <v>282027.41249999998</v>
      </c>
      <c r="E9" s="7">
        <f>'5. SOMAH Workforce Development'!D26</f>
        <v>497326.70850000012</v>
      </c>
      <c r="F9" s="7">
        <f>'5. SOMAH Workforce Development'!E26</f>
        <v>512235.32000000007</v>
      </c>
      <c r="G9" s="7">
        <f>'5. SOMAH Workforce Development'!F26</f>
        <v>552899.70000000007</v>
      </c>
      <c r="H9" s="7">
        <f>'5. SOMAH Workforce Development'!G26</f>
        <v>443027.75999999995</v>
      </c>
      <c r="I9" s="7">
        <f>'5. SOMAH Workforce Development'!H26</f>
        <v>311620.76000000007</v>
      </c>
      <c r="J9" s="7">
        <f>'5. SOMAH Workforce Development'!I26</f>
        <v>260356.27000000002</v>
      </c>
      <c r="K9" s="7">
        <f>'5. SOMAH Workforce Development'!J26</f>
        <v>76809.67</v>
      </c>
      <c r="L9" s="7">
        <f>'5. SOMAH Workforce Development'!K26</f>
        <v>0</v>
      </c>
      <c r="M9" s="7">
        <f>'5. SOMAH Workforce Development'!L26</f>
        <v>0</v>
      </c>
      <c r="N9" s="7">
        <f>'5. SOMAH Workforce Development'!M26</f>
        <v>0</v>
      </c>
      <c r="O9" s="7">
        <f>'5. SOMAH Workforce Development'!N26</f>
        <v>0</v>
      </c>
      <c r="P9" s="7">
        <f>'5. SOMAH Workforce Development'!O26</f>
        <v>0</v>
      </c>
      <c r="Q9" s="7">
        <f>'5. SOMAH Workforce Development'!P26</f>
        <v>0</v>
      </c>
      <c r="R9" s="64">
        <f>SUM(C9:Q9)</f>
        <v>2958353.071</v>
      </c>
      <c r="S9" s="42"/>
      <c r="T9" s="153">
        <f>R9/'2. Program Funding'!N34</f>
        <v>3.09489923285956E-2</v>
      </c>
    </row>
    <row r="10" spans="1:21" ht="26.25" thickBot="1" x14ac:dyDescent="0.25">
      <c r="A10" s="107" t="s">
        <v>13</v>
      </c>
      <c r="B10" s="114" t="s">
        <v>14</v>
      </c>
      <c r="C10" s="37">
        <f>'6. SOMAH Technical Assistance'!C11</f>
        <v>0</v>
      </c>
      <c r="D10" s="37">
        <f>SUM('6. SOMAH Technical Assistance'!D11)</f>
        <v>259744.78000000003</v>
      </c>
      <c r="E10" s="37">
        <f>'6. SOMAH Technical Assistance'!E11</f>
        <v>186594.241243</v>
      </c>
      <c r="F10" s="37">
        <f>'6. SOMAH Technical Assistance'!F11</f>
        <v>231038.96340000007</v>
      </c>
      <c r="G10" s="37">
        <f>'6. SOMAH Technical Assistance'!G11</f>
        <v>494055.60243500001</v>
      </c>
      <c r="H10" s="37">
        <f>'6. SOMAH Technical Assistance'!H11</f>
        <v>447149.76500000001</v>
      </c>
      <c r="I10" s="37">
        <f>'6. SOMAH Technical Assistance'!I11</f>
        <v>532630.07499999995</v>
      </c>
      <c r="J10" s="37">
        <f>'6. SOMAH Technical Assistance'!J11</f>
        <v>672346.06</v>
      </c>
      <c r="K10" s="37">
        <f>'6. SOMAH Technical Assistance'!K11</f>
        <v>415669.25750000001</v>
      </c>
      <c r="L10" s="37">
        <f>'6. SOMAH Technical Assistance'!L11</f>
        <v>0</v>
      </c>
      <c r="M10" s="37">
        <f>'6. SOMAH Technical Assistance'!M11</f>
        <v>0</v>
      </c>
      <c r="N10" s="37">
        <f>'6. SOMAH Technical Assistance'!N11</f>
        <v>0</v>
      </c>
      <c r="O10" s="37">
        <f>'6. SOMAH Technical Assistance'!O11</f>
        <v>0</v>
      </c>
      <c r="P10" s="37">
        <f>'6. SOMAH Technical Assistance'!P11</f>
        <v>0</v>
      </c>
      <c r="Q10" s="37">
        <f>'6. SOMAH Technical Assistance'!Q11</f>
        <v>0</v>
      </c>
      <c r="R10" s="65">
        <f>SUM(C10:Q10)</f>
        <v>3239228.7445780002</v>
      </c>
      <c r="S10" s="44"/>
      <c r="T10" s="154">
        <f>R10/'2. Program Funding'!N34</f>
        <v>3.388739043667411E-2</v>
      </c>
    </row>
    <row r="11" spans="1:21" ht="18" customHeight="1" thickBot="1" x14ac:dyDescent="0.25">
      <c r="A11" s="38" t="s">
        <v>15</v>
      </c>
      <c r="B11" s="115"/>
      <c r="C11" s="36">
        <f>SUM(C7:C10)</f>
        <v>2321569.52</v>
      </c>
      <c r="D11" s="36">
        <f>SUM(D7:D10)</f>
        <v>5596020.5245000012</v>
      </c>
      <c r="E11" s="36">
        <f t="shared" ref="E11:Q11" si="0">SUM(E7:E10)</f>
        <v>6849608.2621417027</v>
      </c>
      <c r="F11" s="36">
        <f t="shared" si="0"/>
        <v>7380008.6333882967</v>
      </c>
      <c r="G11" s="36">
        <f t="shared" si="0"/>
        <v>7990090.7557581486</v>
      </c>
      <c r="H11" s="36">
        <f t="shared" si="0"/>
        <v>7394666.3260000004</v>
      </c>
      <c r="I11" s="36">
        <f t="shared" si="0"/>
        <v>6750953.367899999</v>
      </c>
      <c r="J11" s="36">
        <f t="shared" si="0"/>
        <v>6343526.9100000001</v>
      </c>
      <c r="K11" s="36">
        <f t="shared" si="0"/>
        <v>3053444.8174999994</v>
      </c>
      <c r="L11" s="36">
        <f t="shared" si="0"/>
        <v>0</v>
      </c>
      <c r="M11" s="36">
        <f t="shared" si="0"/>
        <v>0</v>
      </c>
      <c r="N11" s="36">
        <f t="shared" si="0"/>
        <v>0</v>
      </c>
      <c r="O11" s="36">
        <f t="shared" si="0"/>
        <v>0</v>
      </c>
      <c r="P11" s="36">
        <f t="shared" si="0"/>
        <v>0</v>
      </c>
      <c r="Q11" s="36">
        <f t="shared" si="0"/>
        <v>0</v>
      </c>
      <c r="R11" s="149">
        <f>SUM(R7:R10)</f>
        <v>53679889.117188156</v>
      </c>
      <c r="S11" s="150"/>
      <c r="T11" s="155">
        <f>R11/'2. Program Funding'!N34</f>
        <v>0.56157545655162222</v>
      </c>
    </row>
    <row r="12" spans="1:21" ht="25.5" x14ac:dyDescent="0.2">
      <c r="A12" s="103" t="s">
        <v>16</v>
      </c>
      <c r="B12" s="112" t="s">
        <v>17</v>
      </c>
      <c r="C12" s="47">
        <v>0</v>
      </c>
      <c r="D12" s="47">
        <v>0</v>
      </c>
      <c r="E12" s="47">
        <v>231237.25</v>
      </c>
      <c r="F12" s="47">
        <v>275937.3</v>
      </c>
      <c r="G12" s="47">
        <v>101676.75</v>
      </c>
      <c r="H12" s="47">
        <v>248870</v>
      </c>
      <c r="I12" s="47">
        <v>0</v>
      </c>
      <c r="J12" s="47">
        <v>419606.25</v>
      </c>
      <c r="K12" s="47">
        <v>286853.75</v>
      </c>
      <c r="L12" s="47"/>
      <c r="M12" s="47"/>
      <c r="N12" s="47"/>
      <c r="O12" s="47"/>
      <c r="P12" s="47"/>
      <c r="Q12" s="47"/>
      <c r="R12" s="67">
        <f>SUM(C12:Q12)</f>
        <v>1564181.3</v>
      </c>
      <c r="S12" s="44"/>
      <c r="T12" s="153">
        <f>R12/'2. Program Funding'!N34</f>
        <v>1.636377872836825E-2</v>
      </c>
    </row>
    <row r="13" spans="1:21" ht="39" thickBot="1" x14ac:dyDescent="0.25">
      <c r="A13" s="108" t="s">
        <v>18</v>
      </c>
      <c r="B13" s="113" t="s">
        <v>19</v>
      </c>
      <c r="C13" s="49">
        <v>0</v>
      </c>
      <c r="D13" s="49">
        <v>1409932</v>
      </c>
      <c r="E13" s="49">
        <v>1631015.77</v>
      </c>
      <c r="F13" s="49">
        <v>584941</v>
      </c>
      <c r="G13" s="49">
        <v>710505.74</v>
      </c>
      <c r="H13" s="49">
        <v>955726.07000000007</v>
      </c>
      <c r="I13" s="49">
        <v>947771.95</v>
      </c>
      <c r="J13" s="49">
        <v>1610439.7</v>
      </c>
      <c r="K13" s="49">
        <v>732533.17999999993</v>
      </c>
      <c r="L13" s="49"/>
      <c r="M13" s="49"/>
      <c r="N13" s="49"/>
      <c r="O13" s="49"/>
      <c r="P13" s="49"/>
      <c r="Q13" s="49"/>
      <c r="R13" s="68">
        <f>SUM(C13:Q13)</f>
        <v>8582865.4100000001</v>
      </c>
      <c r="S13" s="50"/>
      <c r="T13" s="153">
        <f>R13/'2. Program Funding'!N34</f>
        <v>8.9790173571698911E-2</v>
      </c>
    </row>
    <row r="14" spans="1:21" ht="18" customHeight="1" thickBot="1" x14ac:dyDescent="0.25">
      <c r="A14" s="38" t="s">
        <v>20</v>
      </c>
      <c r="B14" s="115"/>
      <c r="C14" s="36">
        <f>C12+C13</f>
        <v>0</v>
      </c>
      <c r="D14" s="36">
        <f>D12+D13</f>
        <v>1409932</v>
      </c>
      <c r="E14" s="36">
        <f t="shared" ref="E14:R14" si="1">E12+E13</f>
        <v>1862253.02</v>
      </c>
      <c r="F14" s="36">
        <f t="shared" si="1"/>
        <v>860878.3</v>
      </c>
      <c r="G14" s="36">
        <f t="shared" si="1"/>
        <v>812182.49</v>
      </c>
      <c r="H14" s="36">
        <f t="shared" si="1"/>
        <v>1204596.07</v>
      </c>
      <c r="I14" s="36">
        <f t="shared" si="1"/>
        <v>947771.95</v>
      </c>
      <c r="J14" s="36">
        <f t="shared" si="1"/>
        <v>2030045.95</v>
      </c>
      <c r="K14" s="36">
        <f t="shared" si="1"/>
        <v>1019386.9299999999</v>
      </c>
      <c r="L14" s="36">
        <f t="shared" si="1"/>
        <v>0</v>
      </c>
      <c r="M14" s="36">
        <f t="shared" si="1"/>
        <v>0</v>
      </c>
      <c r="N14" s="36">
        <f t="shared" si="1"/>
        <v>0</v>
      </c>
      <c r="O14" s="36">
        <f t="shared" si="1"/>
        <v>0</v>
      </c>
      <c r="P14" s="36">
        <f t="shared" si="1"/>
        <v>0</v>
      </c>
      <c r="Q14" s="36">
        <f t="shared" si="1"/>
        <v>0</v>
      </c>
      <c r="R14" s="66">
        <f t="shared" si="1"/>
        <v>10147046.710000001</v>
      </c>
      <c r="S14" s="150"/>
      <c r="T14" s="154">
        <f>R14/'2. Program Funding'!N34</f>
        <v>0.10615395230006718</v>
      </c>
    </row>
    <row r="15" spans="1:21" ht="64.5" thickBot="1" x14ac:dyDescent="0.25">
      <c r="A15" s="48" t="s">
        <v>21</v>
      </c>
      <c r="B15" s="116" t="s">
        <v>22</v>
      </c>
      <c r="C15" s="71">
        <f>C11+C14</f>
        <v>2321569.52</v>
      </c>
      <c r="D15" s="71">
        <f>D11+D14</f>
        <v>7005952.5245000012</v>
      </c>
      <c r="E15" s="71">
        <f t="shared" ref="E15:N15" si="2">E11+E14</f>
        <v>8711861.2821417022</v>
      </c>
      <c r="F15" s="71">
        <f t="shared" si="2"/>
        <v>8240886.9333882965</v>
      </c>
      <c r="G15" s="71">
        <f t="shared" si="2"/>
        <v>8802273.2457581479</v>
      </c>
      <c r="H15" s="71">
        <f t="shared" si="2"/>
        <v>8599262.3959999997</v>
      </c>
      <c r="I15" s="71">
        <f t="shared" si="2"/>
        <v>7698725.3178999992</v>
      </c>
      <c r="J15" s="71">
        <f t="shared" si="2"/>
        <v>8373572.8600000003</v>
      </c>
      <c r="K15" s="71">
        <f t="shared" si="2"/>
        <v>4072831.7474999996</v>
      </c>
      <c r="L15" s="71">
        <f t="shared" si="2"/>
        <v>0</v>
      </c>
      <c r="M15" s="71">
        <f t="shared" si="2"/>
        <v>0</v>
      </c>
      <c r="N15" s="71">
        <f t="shared" si="2"/>
        <v>0</v>
      </c>
      <c r="O15" s="71">
        <f>O11+O14</f>
        <v>0</v>
      </c>
      <c r="P15" s="71">
        <f t="shared" ref="P15:Q15" si="3">P11+P14</f>
        <v>0</v>
      </c>
      <c r="Q15" s="71">
        <f t="shared" si="3"/>
        <v>0</v>
      </c>
      <c r="R15" s="72">
        <f>R11+R14</f>
        <v>63826935.827188157</v>
      </c>
      <c r="S15" s="151">
        <f>'2. Program Funding'!N34-'1. Expenditures'!R15</f>
        <v>31761089.772811852</v>
      </c>
      <c r="T15" s="152">
        <f>R15/'2. Program Funding'!N34</f>
        <v>0.66772940885168941</v>
      </c>
    </row>
    <row r="16" spans="1:21" x14ac:dyDescent="0.2">
      <c r="A16" s="19"/>
      <c r="B16" s="32"/>
      <c r="C16" s="20"/>
      <c r="D16" s="20"/>
      <c r="E16" s="20"/>
      <c r="F16" s="20"/>
      <c r="G16" s="20"/>
      <c r="H16" s="20"/>
      <c r="I16" s="20"/>
      <c r="J16" s="20"/>
      <c r="K16" s="20"/>
      <c r="L16" s="20"/>
      <c r="M16" s="20"/>
      <c r="N16" s="28"/>
      <c r="O16" s="28"/>
      <c r="P16" s="28"/>
      <c r="Q16" s="28"/>
      <c r="R16" s="28"/>
      <c r="S16" s="21"/>
      <c r="T16" s="22"/>
    </row>
    <row r="17" spans="1:1" ht="132.75" customHeight="1" x14ac:dyDescent="0.2">
      <c r="A17" s="166" t="s">
        <v>23</v>
      </c>
    </row>
  </sheetData>
  <sheetProtection algorithmName="SHA-512" hashValue="ieQFsr8FG5Y191/AU0iJeRHMUMQLt8x3z8vSwTPdhRRNsxx/wD39XqjbFT8YDrUXyX7uItsFvjNTMT4y4uDlag==" saltValue="ZB7na1oofoWu4HMWgck/GQ==" spinCount="100000" sheet="1" objects="1" scenarios="1"/>
  <customSheetViews>
    <customSheetView guid="{9D8689BD-5DE1-44EE-AD85-AABB805F8C74}" hiddenColumns="1" topLeftCell="A51">
      <selection activeCell="K76" sqref="K76"/>
      <pageMargins left="0" right="0" top="0" bottom="0" header="0" footer="0"/>
      <pageSetup orientation="portrait" r:id="rId1"/>
    </customSheetView>
    <customSheetView guid="{524D39D6-D9FA-43B9-A02A-7383F59753BD}" topLeftCell="A10">
      <selection activeCell="B23" sqref="B23"/>
      <pageMargins left="0" right="0" top="0" bottom="0" header="0" footer="0"/>
      <pageSetup orientation="portrait" r:id="rId2"/>
    </customSheetView>
  </customSheetView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42F0A-7950-4B75-A208-98099E338B68}">
  <dimension ref="A1:P36"/>
  <sheetViews>
    <sheetView zoomScaleNormal="100" workbookViewId="0">
      <pane xSplit="1" topLeftCell="B1" activePane="topRight" state="frozen"/>
      <selection pane="topRight" activeCell="N37" sqref="N37"/>
    </sheetView>
  </sheetViews>
  <sheetFormatPr defaultColWidth="9.140625" defaultRowHeight="12.75" x14ac:dyDescent="0.2"/>
  <cols>
    <col min="1" max="1" width="50.140625" style="6" bestFit="1" customWidth="1"/>
    <col min="2" max="15" width="15.5703125" style="6" customWidth="1"/>
    <col min="16" max="16" width="13" style="6" bestFit="1" customWidth="1"/>
    <col min="17" max="16384" width="9.140625" style="6"/>
  </cols>
  <sheetData>
    <row r="1" spans="1:16" s="2" customFormat="1" ht="15.75" x14ac:dyDescent="0.25">
      <c r="A1" s="117" t="s">
        <v>0</v>
      </c>
      <c r="B1" s="1"/>
      <c r="C1" s="1"/>
    </row>
    <row r="2" spans="1:16" x14ac:dyDescent="0.2">
      <c r="A2" s="167" t="str">
        <f>'1. Expenditures'!A2</f>
        <v>Reporting Date: July  31, 2026</v>
      </c>
      <c r="B2" s="5"/>
      <c r="C2" s="5"/>
      <c r="I2" s="26"/>
    </row>
    <row r="3" spans="1:16" x14ac:dyDescent="0.2">
      <c r="A3" s="167" t="str">
        <f>'1. Expenditures'!A3</f>
        <v>Reporting Data Through: June 30, 2026</v>
      </c>
      <c r="I3" s="26"/>
    </row>
    <row r="4" spans="1:16" x14ac:dyDescent="0.2">
      <c r="I4" s="26"/>
    </row>
    <row r="5" spans="1:16" ht="13.5" thickBot="1" x14ac:dyDescent="0.25">
      <c r="A5" s="23" t="s">
        <v>24</v>
      </c>
    </row>
    <row r="6" spans="1:16" ht="26.25" thickBot="1" x14ac:dyDescent="0.25">
      <c r="A6" s="30" t="s">
        <v>25</v>
      </c>
      <c r="B6" s="43">
        <v>2016</v>
      </c>
      <c r="C6" s="43">
        <v>2017</v>
      </c>
      <c r="D6" s="43">
        <v>2018</v>
      </c>
      <c r="E6" s="43">
        <v>2019</v>
      </c>
      <c r="F6" s="136" t="s">
        <v>26</v>
      </c>
      <c r="G6" s="43" t="s">
        <v>27</v>
      </c>
      <c r="H6" s="43">
        <v>2021</v>
      </c>
      <c r="I6" s="43" t="s">
        <v>301</v>
      </c>
      <c r="J6" s="43">
        <v>2023</v>
      </c>
      <c r="K6" s="43">
        <v>2024</v>
      </c>
      <c r="L6" s="43">
        <v>2025</v>
      </c>
      <c r="M6" s="226">
        <v>2026</v>
      </c>
      <c r="N6" s="139" t="s">
        <v>28</v>
      </c>
    </row>
    <row r="7" spans="1:16" x14ac:dyDescent="0.2">
      <c r="A7" s="99" t="s">
        <v>29</v>
      </c>
      <c r="B7" s="76">
        <v>1934435</v>
      </c>
      <c r="C7" s="76">
        <v>4843456</v>
      </c>
      <c r="D7" s="76">
        <v>43700000</v>
      </c>
      <c r="E7" s="76">
        <v>37737000</v>
      </c>
      <c r="F7" s="76">
        <v>35133983</v>
      </c>
      <c r="G7" s="76">
        <v>38776228</v>
      </c>
      <c r="H7" s="76">
        <v>31609200</v>
      </c>
      <c r="I7" s="76">
        <v>46222340</v>
      </c>
      <c r="J7" s="76">
        <v>42666697</v>
      </c>
      <c r="K7" s="76">
        <v>28164771</v>
      </c>
      <c r="L7" s="76">
        <v>34626368</v>
      </c>
      <c r="M7" s="233">
        <v>24561248</v>
      </c>
      <c r="N7" s="204">
        <f>SUM(B7:M7)</f>
        <v>369975726</v>
      </c>
      <c r="O7" s="140"/>
    </row>
    <row r="8" spans="1:16" ht="15" x14ac:dyDescent="0.25">
      <c r="A8" s="100" t="s">
        <v>30</v>
      </c>
      <c r="B8" s="77">
        <v>3036945</v>
      </c>
      <c r="C8" s="77">
        <v>5040055</v>
      </c>
      <c r="D8" s="77">
        <v>46000000</v>
      </c>
      <c r="E8" s="76">
        <v>33979418</v>
      </c>
      <c r="F8" s="76">
        <v>50602879</v>
      </c>
      <c r="G8" s="76">
        <v>22678768</v>
      </c>
      <c r="H8" s="76">
        <v>63966285</v>
      </c>
      <c r="I8" s="76">
        <v>73364564</v>
      </c>
      <c r="J8" s="76">
        <v>48710716</v>
      </c>
      <c r="K8" s="76">
        <v>27935638</v>
      </c>
      <c r="L8" s="76">
        <v>50209000</v>
      </c>
      <c r="M8" s="233">
        <v>26591997</v>
      </c>
      <c r="N8" s="204">
        <f t="shared" ref="N8:N11" si="0">SUM(B8:M8)</f>
        <v>452116265</v>
      </c>
      <c r="O8" s="141"/>
      <c r="P8" s="173"/>
    </row>
    <row r="9" spans="1:16" ht="15" x14ac:dyDescent="0.25">
      <c r="A9" s="100" t="s">
        <v>31</v>
      </c>
      <c r="B9" s="77">
        <v>0</v>
      </c>
      <c r="C9" s="77">
        <v>0</v>
      </c>
      <c r="D9" s="77">
        <v>10300000</v>
      </c>
      <c r="E9" s="76">
        <v>10115640</v>
      </c>
      <c r="F9" s="76">
        <v>12604205</v>
      </c>
      <c r="G9" s="76">
        <v>11438841</v>
      </c>
      <c r="H9" s="76">
        <v>10923507</v>
      </c>
      <c r="I9" s="76">
        <v>20583076</v>
      </c>
      <c r="J9" s="76">
        <v>14949939</v>
      </c>
      <c r="K9" s="76">
        <v>4773766</v>
      </c>
      <c r="L9" s="76">
        <v>13630635</v>
      </c>
      <c r="M9" s="233">
        <v>7591908</v>
      </c>
      <c r="N9" s="204">
        <f t="shared" si="0"/>
        <v>116911517</v>
      </c>
      <c r="O9" s="141"/>
      <c r="P9" s="173"/>
    </row>
    <row r="10" spans="1:16" ht="15" x14ac:dyDescent="0.25">
      <c r="A10" s="100" t="s">
        <v>32</v>
      </c>
      <c r="B10" s="77">
        <v>469381</v>
      </c>
      <c r="C10" s="77">
        <v>1068101</v>
      </c>
      <c r="D10" s="77">
        <v>1121680</v>
      </c>
      <c r="E10" s="76">
        <v>1278364</v>
      </c>
      <c r="F10" s="76">
        <v>0</v>
      </c>
      <c r="G10" s="76">
        <v>1308215</v>
      </c>
      <c r="H10" s="76">
        <v>1211480</v>
      </c>
      <c r="I10" s="76">
        <v>1680958</v>
      </c>
      <c r="J10" s="76">
        <v>1784879</v>
      </c>
      <c r="K10" s="76">
        <v>1851192</v>
      </c>
      <c r="L10" s="76">
        <v>1458709</v>
      </c>
      <c r="M10" s="233">
        <v>287760</v>
      </c>
      <c r="N10" s="204">
        <f t="shared" si="0"/>
        <v>13520719</v>
      </c>
      <c r="O10" s="141"/>
      <c r="P10" s="173"/>
    </row>
    <row r="11" spans="1:16" ht="15.75" thickBot="1" x14ac:dyDescent="0.3">
      <c r="A11" s="101" t="s">
        <v>33</v>
      </c>
      <c r="B11" s="78">
        <v>147156</v>
      </c>
      <c r="C11" s="78">
        <v>287032</v>
      </c>
      <c r="D11" s="78">
        <v>349673</v>
      </c>
      <c r="E11" s="76">
        <v>466130</v>
      </c>
      <c r="F11" s="76">
        <v>0</v>
      </c>
      <c r="G11" s="76">
        <v>362585</v>
      </c>
      <c r="H11" s="76">
        <v>333475</v>
      </c>
      <c r="I11" s="76">
        <v>446231</v>
      </c>
      <c r="J11" s="76">
        <v>332411</v>
      </c>
      <c r="K11" s="76">
        <v>631336</v>
      </c>
      <c r="L11" s="76">
        <v>0</v>
      </c>
      <c r="M11" s="233">
        <v>0</v>
      </c>
      <c r="N11" s="204">
        <f t="shared" si="0"/>
        <v>3356029</v>
      </c>
      <c r="O11" s="141"/>
      <c r="P11" s="173"/>
    </row>
    <row r="12" spans="1:16" ht="15.75" thickBot="1" x14ac:dyDescent="0.3">
      <c r="A12" s="38" t="s">
        <v>34</v>
      </c>
      <c r="B12" s="36">
        <f>(B7+B8+B9+B10+B11)</f>
        <v>5587917</v>
      </c>
      <c r="C12" s="36">
        <f t="shared" ref="C12:H12" si="1">(C7+C8+C9+C10+C11)</f>
        <v>11238644</v>
      </c>
      <c r="D12" s="36">
        <f t="shared" si="1"/>
        <v>101471353</v>
      </c>
      <c r="E12" s="36">
        <f t="shared" si="1"/>
        <v>83576552</v>
      </c>
      <c r="F12" s="36">
        <f t="shared" si="1"/>
        <v>98341067</v>
      </c>
      <c r="G12" s="36">
        <f t="shared" si="1"/>
        <v>74564637</v>
      </c>
      <c r="H12" s="36">
        <f t="shared" si="1"/>
        <v>108043947</v>
      </c>
      <c r="I12" s="36">
        <f t="shared" ref="I12" si="2">(I7+I8+I9+I10+I11)</f>
        <v>142297169</v>
      </c>
      <c r="J12" s="36">
        <f t="shared" ref="J12" si="3">(J7+J8+J9+J10+J11)</f>
        <v>108444642</v>
      </c>
      <c r="K12" s="36">
        <f t="shared" ref="K12" si="4">(K7+K8+K9+K10+K11)</f>
        <v>63356703</v>
      </c>
      <c r="L12" s="36">
        <f t="shared" ref="L12:M12" si="5">(L7+L8+L9+L10+L11)</f>
        <v>99924712</v>
      </c>
      <c r="M12" s="36">
        <f t="shared" si="5"/>
        <v>59032913</v>
      </c>
      <c r="N12" s="234">
        <f>SUM(N7:N11)</f>
        <v>955880256</v>
      </c>
      <c r="O12" s="142"/>
      <c r="P12" s="174"/>
    </row>
    <row r="13" spans="1:16" ht="54.75" customHeight="1" x14ac:dyDescent="0.2">
      <c r="A13" s="273" t="s">
        <v>35</v>
      </c>
      <c r="B13" s="273"/>
      <c r="C13" s="32"/>
      <c r="D13" s="32"/>
      <c r="E13" s="32"/>
      <c r="F13" s="32"/>
      <c r="G13" s="32"/>
      <c r="H13" s="32"/>
      <c r="I13" s="32"/>
      <c r="J13" s="32"/>
      <c r="K13" s="32"/>
      <c r="L13" s="32"/>
      <c r="M13" s="32"/>
      <c r="N13" s="32"/>
      <c r="O13" s="32"/>
    </row>
    <row r="14" spans="1:16" ht="47.25" customHeight="1" x14ac:dyDescent="0.2">
      <c r="A14" s="274" t="s">
        <v>302</v>
      </c>
      <c r="B14" s="274"/>
      <c r="C14" s="32"/>
      <c r="D14" s="32"/>
      <c r="E14" s="32"/>
      <c r="F14" s="32"/>
      <c r="G14" s="32"/>
      <c r="H14" s="32"/>
      <c r="I14" s="32"/>
      <c r="J14" s="32"/>
      <c r="K14" s="32"/>
      <c r="L14" s="32"/>
      <c r="M14" s="32"/>
      <c r="N14" s="32"/>
      <c r="O14" s="32"/>
    </row>
    <row r="15" spans="1:16" ht="105" customHeight="1" x14ac:dyDescent="0.2">
      <c r="A15" s="274" t="s">
        <v>363</v>
      </c>
      <c r="B15" s="274"/>
      <c r="C15" s="274"/>
      <c r="D15" s="32"/>
      <c r="E15" s="32"/>
      <c r="F15" s="32"/>
      <c r="G15" s="32"/>
      <c r="H15" s="32"/>
      <c r="I15" s="32"/>
      <c r="J15" s="32"/>
      <c r="K15" s="32"/>
      <c r="L15" s="32"/>
      <c r="M15" s="32"/>
      <c r="N15" s="32"/>
      <c r="O15" s="32"/>
    </row>
    <row r="16" spans="1:16" x14ac:dyDescent="0.2">
      <c r="A16" s="19"/>
      <c r="B16" s="19"/>
      <c r="C16" s="19"/>
      <c r="D16" s="20"/>
      <c r="E16" s="20"/>
      <c r="F16" s="20"/>
      <c r="G16" s="20"/>
      <c r="H16" s="20"/>
      <c r="I16" s="20"/>
      <c r="J16" s="20"/>
      <c r="K16" s="20"/>
      <c r="L16" s="20"/>
      <c r="M16" s="20"/>
      <c r="N16" s="28"/>
      <c r="O16" s="143"/>
    </row>
    <row r="17" spans="1:16" ht="13.5" thickBot="1" x14ac:dyDescent="0.25">
      <c r="A17" s="23" t="s">
        <v>36</v>
      </c>
      <c r="B17" s="19"/>
      <c r="C17" s="19"/>
      <c r="D17" s="20"/>
      <c r="E17" s="20"/>
      <c r="F17" s="20"/>
      <c r="G17" s="20"/>
      <c r="H17" s="20"/>
      <c r="I17" s="20"/>
      <c r="J17" s="20"/>
      <c r="K17" s="20"/>
      <c r="L17" s="20"/>
      <c r="M17" s="20"/>
      <c r="N17" s="28"/>
      <c r="O17" s="143"/>
      <c r="P17" s="26"/>
    </row>
    <row r="18" spans="1:16" ht="26.25" thickBot="1" x14ac:dyDescent="0.25">
      <c r="A18" s="30" t="s">
        <v>25</v>
      </c>
      <c r="B18" s="43">
        <v>2016</v>
      </c>
      <c r="C18" s="43">
        <v>2017</v>
      </c>
      <c r="D18" s="43">
        <v>2018</v>
      </c>
      <c r="E18" s="43">
        <v>2019</v>
      </c>
      <c r="F18" s="136" t="s">
        <v>37</v>
      </c>
      <c r="G18" s="43">
        <v>2020</v>
      </c>
      <c r="H18" s="43">
        <v>2021</v>
      </c>
      <c r="I18" s="43">
        <v>2022</v>
      </c>
      <c r="J18" s="43">
        <v>2023</v>
      </c>
      <c r="K18" s="43">
        <v>2024</v>
      </c>
      <c r="L18" s="43">
        <v>2025</v>
      </c>
      <c r="M18" s="226">
        <v>2026</v>
      </c>
      <c r="N18" s="139" t="s">
        <v>28</v>
      </c>
    </row>
    <row r="19" spans="1:16" x14ac:dyDescent="0.2">
      <c r="A19" s="99" t="s">
        <v>29</v>
      </c>
      <c r="B19" s="76">
        <f t="shared" ref="B19:M19" si="6">B7*0.9</f>
        <v>1740991.5</v>
      </c>
      <c r="C19" s="76">
        <f t="shared" si="6"/>
        <v>4359110.4000000004</v>
      </c>
      <c r="D19" s="76">
        <f t="shared" si="6"/>
        <v>39330000</v>
      </c>
      <c r="E19" s="76">
        <f t="shared" si="6"/>
        <v>33963300</v>
      </c>
      <c r="F19" s="76">
        <f t="shared" si="6"/>
        <v>31620584.699999999</v>
      </c>
      <c r="G19" s="76">
        <f t="shared" si="6"/>
        <v>34898605.200000003</v>
      </c>
      <c r="H19" s="76">
        <f t="shared" si="6"/>
        <v>28448280</v>
      </c>
      <c r="I19" s="76">
        <f t="shared" si="6"/>
        <v>41600106</v>
      </c>
      <c r="J19" s="76">
        <f t="shared" si="6"/>
        <v>38400027.300000004</v>
      </c>
      <c r="K19" s="76">
        <f t="shared" si="6"/>
        <v>25348293.900000002</v>
      </c>
      <c r="L19" s="76">
        <f t="shared" si="6"/>
        <v>31163731.199999999</v>
      </c>
      <c r="M19" s="76">
        <f t="shared" si="6"/>
        <v>22105123.199999999</v>
      </c>
      <c r="N19" s="204">
        <f>SUM(B19:M19)</f>
        <v>332978153.39999998</v>
      </c>
      <c r="O19" s="140"/>
    </row>
    <row r="20" spans="1:16" x14ac:dyDescent="0.2">
      <c r="A20" s="100" t="s">
        <v>30</v>
      </c>
      <c r="B20" s="76">
        <f t="shared" ref="B20:M20" si="7">B8*0.9</f>
        <v>2733250.5</v>
      </c>
      <c r="C20" s="76">
        <f t="shared" si="7"/>
        <v>4536049.5</v>
      </c>
      <c r="D20" s="76">
        <f t="shared" si="7"/>
        <v>41400000</v>
      </c>
      <c r="E20" s="76">
        <f t="shared" si="7"/>
        <v>30581476.199999999</v>
      </c>
      <c r="F20" s="76">
        <f t="shared" si="7"/>
        <v>45542591.100000001</v>
      </c>
      <c r="G20" s="76">
        <f t="shared" si="7"/>
        <v>20410891.199999999</v>
      </c>
      <c r="H20" s="76">
        <f t="shared" si="7"/>
        <v>57569656.5</v>
      </c>
      <c r="I20" s="76">
        <f t="shared" si="7"/>
        <v>66028107.600000001</v>
      </c>
      <c r="J20" s="76">
        <f t="shared" si="7"/>
        <v>43839644.399999999</v>
      </c>
      <c r="K20" s="76">
        <f t="shared" si="7"/>
        <v>25142074.199999999</v>
      </c>
      <c r="L20" s="76">
        <f t="shared" si="7"/>
        <v>45188100</v>
      </c>
      <c r="M20" s="76">
        <f t="shared" si="7"/>
        <v>23932797.300000001</v>
      </c>
      <c r="N20" s="204">
        <f t="shared" ref="N20:N23" si="8">SUM(B20:M20)</f>
        <v>406904638.5</v>
      </c>
      <c r="O20" s="141"/>
    </row>
    <row r="21" spans="1:16" x14ac:dyDescent="0.2">
      <c r="A21" s="100" t="s">
        <v>31</v>
      </c>
      <c r="B21" s="76">
        <f t="shared" ref="B21:M21" si="9">B9*0.9</f>
        <v>0</v>
      </c>
      <c r="C21" s="76">
        <f t="shared" si="9"/>
        <v>0</v>
      </c>
      <c r="D21" s="76">
        <f t="shared" si="9"/>
        <v>9270000</v>
      </c>
      <c r="E21" s="76">
        <f t="shared" si="9"/>
        <v>9104076</v>
      </c>
      <c r="F21" s="76">
        <f t="shared" si="9"/>
        <v>11343784.5</v>
      </c>
      <c r="G21" s="76">
        <f t="shared" si="9"/>
        <v>10294956.9</v>
      </c>
      <c r="H21" s="76">
        <f t="shared" si="9"/>
        <v>9831156.3000000007</v>
      </c>
      <c r="I21" s="76">
        <f t="shared" si="9"/>
        <v>18524768.400000002</v>
      </c>
      <c r="J21" s="76">
        <f t="shared" si="9"/>
        <v>13454945.1</v>
      </c>
      <c r="K21" s="76">
        <f t="shared" si="9"/>
        <v>4296389.4000000004</v>
      </c>
      <c r="L21" s="76">
        <f t="shared" si="9"/>
        <v>12267571.5</v>
      </c>
      <c r="M21" s="76">
        <f t="shared" si="9"/>
        <v>6832717.2000000002</v>
      </c>
      <c r="N21" s="204">
        <f t="shared" si="8"/>
        <v>105220365.30000001</v>
      </c>
      <c r="O21" s="141"/>
    </row>
    <row r="22" spans="1:16" x14ac:dyDescent="0.2">
      <c r="A22" s="100" t="s">
        <v>32</v>
      </c>
      <c r="B22" s="76">
        <f t="shared" ref="B22:M22" si="10">B10*0.9</f>
        <v>422442.9</v>
      </c>
      <c r="C22" s="76">
        <f t="shared" si="10"/>
        <v>961290.9</v>
      </c>
      <c r="D22" s="76">
        <f t="shared" si="10"/>
        <v>1009512</v>
      </c>
      <c r="E22" s="76">
        <f t="shared" si="10"/>
        <v>1150527.6000000001</v>
      </c>
      <c r="F22" s="76">
        <f t="shared" si="10"/>
        <v>0</v>
      </c>
      <c r="G22" s="76">
        <f t="shared" si="10"/>
        <v>1177393.5</v>
      </c>
      <c r="H22" s="76">
        <f t="shared" si="10"/>
        <v>1090332</v>
      </c>
      <c r="I22" s="76">
        <f t="shared" si="10"/>
        <v>1512862.2</v>
      </c>
      <c r="J22" s="76">
        <f t="shared" si="10"/>
        <v>1606391.1</v>
      </c>
      <c r="K22" s="76">
        <f t="shared" si="10"/>
        <v>1666072.8</v>
      </c>
      <c r="L22" s="76">
        <f t="shared" si="10"/>
        <v>1312838.1000000001</v>
      </c>
      <c r="M22" s="76">
        <f t="shared" si="10"/>
        <v>258984</v>
      </c>
      <c r="N22" s="204">
        <f t="shared" si="8"/>
        <v>12168647.100000001</v>
      </c>
      <c r="O22" s="141"/>
    </row>
    <row r="23" spans="1:16" ht="13.5" thickBot="1" x14ac:dyDescent="0.25">
      <c r="A23" s="101" t="s">
        <v>33</v>
      </c>
      <c r="B23" s="76">
        <f t="shared" ref="B23:M23" si="11">B11*0.9</f>
        <v>132440.4</v>
      </c>
      <c r="C23" s="76">
        <f t="shared" si="11"/>
        <v>258328.80000000002</v>
      </c>
      <c r="D23" s="76">
        <f t="shared" si="11"/>
        <v>314705.7</v>
      </c>
      <c r="E23" s="76">
        <f t="shared" si="11"/>
        <v>419517</v>
      </c>
      <c r="F23" s="76">
        <f t="shared" si="11"/>
        <v>0</v>
      </c>
      <c r="G23" s="76">
        <f t="shared" si="11"/>
        <v>326326.5</v>
      </c>
      <c r="H23" s="76">
        <f t="shared" si="11"/>
        <v>300127.5</v>
      </c>
      <c r="I23" s="76">
        <f t="shared" si="11"/>
        <v>401607.9</v>
      </c>
      <c r="J23" s="76">
        <f t="shared" si="11"/>
        <v>299169.90000000002</v>
      </c>
      <c r="K23" s="76">
        <f t="shared" si="11"/>
        <v>568202.4</v>
      </c>
      <c r="L23" s="76">
        <f t="shared" si="11"/>
        <v>0</v>
      </c>
      <c r="M23" s="76">
        <f t="shared" si="11"/>
        <v>0</v>
      </c>
      <c r="N23" s="204">
        <f t="shared" si="8"/>
        <v>3020426.0999999996</v>
      </c>
      <c r="O23" s="141"/>
    </row>
    <row r="24" spans="1:16" ht="13.5" thickBot="1" x14ac:dyDescent="0.25">
      <c r="A24" s="38" t="s">
        <v>38</v>
      </c>
      <c r="B24" s="144">
        <f>SUM(B19:B23)</f>
        <v>5029125.3000000007</v>
      </c>
      <c r="C24" s="144">
        <f t="shared" ref="C24:N24" si="12">SUM(C19:C23)</f>
        <v>10114779.600000001</v>
      </c>
      <c r="D24" s="144">
        <f t="shared" si="12"/>
        <v>91324217.700000003</v>
      </c>
      <c r="E24" s="144">
        <f t="shared" si="12"/>
        <v>75218896.799999997</v>
      </c>
      <c r="F24" s="144">
        <f t="shared" si="12"/>
        <v>88506960.299999997</v>
      </c>
      <c r="G24" s="144">
        <f t="shared" si="12"/>
        <v>67108173.300000004</v>
      </c>
      <c r="H24" s="144">
        <f t="shared" si="12"/>
        <v>97239552.299999997</v>
      </c>
      <c r="I24" s="144">
        <f t="shared" si="12"/>
        <v>128067452.10000001</v>
      </c>
      <c r="J24" s="144">
        <f t="shared" si="12"/>
        <v>97600177.799999997</v>
      </c>
      <c r="K24" s="144">
        <f t="shared" si="12"/>
        <v>57021032.699999996</v>
      </c>
      <c r="L24" s="235">
        <f t="shared" si="12"/>
        <v>89932240.799999997</v>
      </c>
      <c r="M24" s="235">
        <f t="shared" si="12"/>
        <v>53129621.700000003</v>
      </c>
      <c r="N24" s="235">
        <f t="shared" si="12"/>
        <v>860292230.4000001</v>
      </c>
      <c r="O24" s="142"/>
    </row>
    <row r="25" spans="1:16" x14ac:dyDescent="0.2">
      <c r="A25" s="145"/>
      <c r="B25" s="146"/>
      <c r="C25" s="32"/>
      <c r="D25" s="32"/>
      <c r="E25" s="32"/>
      <c r="F25" s="32"/>
      <c r="G25" s="32"/>
      <c r="H25" s="32"/>
      <c r="I25" s="32"/>
      <c r="J25" s="32"/>
      <c r="K25" s="32"/>
      <c r="L25" s="32"/>
      <c r="M25" s="32"/>
      <c r="N25" s="32"/>
      <c r="O25" s="32"/>
    </row>
    <row r="26" spans="1:16" x14ac:dyDescent="0.2">
      <c r="A26" s="19"/>
      <c r="B26" s="19"/>
      <c r="C26" s="19"/>
      <c r="D26" s="20"/>
      <c r="E26" s="20"/>
      <c r="F26" s="20"/>
      <c r="G26" s="20"/>
      <c r="H26" s="20"/>
      <c r="I26" s="20"/>
      <c r="J26" s="20"/>
      <c r="K26" s="20"/>
      <c r="L26" s="20"/>
      <c r="M26" s="20"/>
      <c r="N26" s="28"/>
      <c r="O26" s="143"/>
    </row>
    <row r="27" spans="1:16" ht="13.5" thickBot="1" x14ac:dyDescent="0.25">
      <c r="A27" s="23" t="s">
        <v>39</v>
      </c>
      <c r="B27" s="19"/>
      <c r="C27" s="19"/>
      <c r="D27" s="20"/>
      <c r="E27" s="20"/>
      <c r="F27" s="20"/>
      <c r="G27" s="20"/>
      <c r="H27" s="20"/>
      <c r="I27" s="20"/>
      <c r="J27" s="20"/>
      <c r="K27" s="20"/>
      <c r="L27" s="20"/>
      <c r="M27" s="20"/>
      <c r="N27" s="28"/>
      <c r="O27" s="143"/>
    </row>
    <row r="28" spans="1:16" ht="26.25" thickBot="1" x14ac:dyDescent="0.25">
      <c r="A28" s="30" t="s">
        <v>25</v>
      </c>
      <c r="B28" s="43">
        <v>2016</v>
      </c>
      <c r="C28" s="43">
        <v>2017</v>
      </c>
      <c r="D28" s="43">
        <v>2018</v>
      </c>
      <c r="E28" s="43">
        <v>2019</v>
      </c>
      <c r="F28" s="136" t="s">
        <v>37</v>
      </c>
      <c r="G28" s="43">
        <v>2020</v>
      </c>
      <c r="H28" s="43">
        <v>2021</v>
      </c>
      <c r="I28" s="43">
        <v>2022</v>
      </c>
      <c r="J28" s="43">
        <v>2023</v>
      </c>
      <c r="K28" s="43">
        <v>2024</v>
      </c>
      <c r="L28" s="43">
        <v>2025</v>
      </c>
      <c r="M28" s="226">
        <v>2026</v>
      </c>
      <c r="N28" s="139" t="s">
        <v>28</v>
      </c>
    </row>
    <row r="29" spans="1:16" x14ac:dyDescent="0.2">
      <c r="A29" s="99" t="s">
        <v>29</v>
      </c>
      <c r="B29" s="76">
        <f t="shared" ref="B29:M29" si="13">B7*0.1</f>
        <v>193443.5</v>
      </c>
      <c r="C29" s="76">
        <f t="shared" si="13"/>
        <v>484345.60000000003</v>
      </c>
      <c r="D29" s="76">
        <f t="shared" si="13"/>
        <v>4370000</v>
      </c>
      <c r="E29" s="76">
        <f t="shared" si="13"/>
        <v>3773700</v>
      </c>
      <c r="F29" s="76">
        <f t="shared" si="13"/>
        <v>3513398.3000000003</v>
      </c>
      <c r="G29" s="76">
        <f t="shared" si="13"/>
        <v>3877622.8000000003</v>
      </c>
      <c r="H29" s="76">
        <f t="shared" si="13"/>
        <v>3160920</v>
      </c>
      <c r="I29" s="76">
        <f t="shared" si="13"/>
        <v>4622234</v>
      </c>
      <c r="J29" s="76">
        <f t="shared" si="13"/>
        <v>4266669.7</v>
      </c>
      <c r="K29" s="76">
        <f t="shared" si="13"/>
        <v>2816477.1</v>
      </c>
      <c r="L29" s="76">
        <f t="shared" si="13"/>
        <v>3462636.8000000003</v>
      </c>
      <c r="M29" s="76">
        <f t="shared" si="13"/>
        <v>2456124.8000000003</v>
      </c>
      <c r="N29" s="204">
        <f>SUM(B29:M29)</f>
        <v>36997572.600000001</v>
      </c>
      <c r="O29" s="140"/>
    </row>
    <row r="30" spans="1:16" x14ac:dyDescent="0.2">
      <c r="A30" s="100" t="s">
        <v>30</v>
      </c>
      <c r="B30" s="76">
        <f t="shared" ref="B30:M30" si="14">B8*0.1</f>
        <v>303694.5</v>
      </c>
      <c r="C30" s="76">
        <f t="shared" si="14"/>
        <v>504005.5</v>
      </c>
      <c r="D30" s="76">
        <f t="shared" si="14"/>
        <v>4600000</v>
      </c>
      <c r="E30" s="76">
        <f t="shared" si="14"/>
        <v>3397941.8000000003</v>
      </c>
      <c r="F30" s="76">
        <f t="shared" si="14"/>
        <v>5060287.9000000004</v>
      </c>
      <c r="G30" s="76">
        <f t="shared" si="14"/>
        <v>2267876.8000000003</v>
      </c>
      <c r="H30" s="76">
        <f t="shared" si="14"/>
        <v>6396628.5</v>
      </c>
      <c r="I30" s="76">
        <f t="shared" si="14"/>
        <v>7336456.4000000004</v>
      </c>
      <c r="J30" s="76">
        <f t="shared" si="14"/>
        <v>4871071.6000000006</v>
      </c>
      <c r="K30" s="76">
        <f t="shared" si="14"/>
        <v>2793563.8000000003</v>
      </c>
      <c r="L30" s="76">
        <f t="shared" si="14"/>
        <v>5020900</v>
      </c>
      <c r="M30" s="76">
        <f t="shared" si="14"/>
        <v>2659199.7000000002</v>
      </c>
      <c r="N30" s="204">
        <f t="shared" ref="N30:N33" si="15">SUM(B30:M30)</f>
        <v>45211626.5</v>
      </c>
      <c r="O30" s="141"/>
    </row>
    <row r="31" spans="1:16" x14ac:dyDescent="0.2">
      <c r="A31" s="100" t="s">
        <v>31</v>
      </c>
      <c r="B31" s="76">
        <f t="shared" ref="B31:M31" si="16">B9*0.1</f>
        <v>0</v>
      </c>
      <c r="C31" s="76">
        <f t="shared" si="16"/>
        <v>0</v>
      </c>
      <c r="D31" s="76">
        <f t="shared" si="16"/>
        <v>1030000</v>
      </c>
      <c r="E31" s="76">
        <f t="shared" si="16"/>
        <v>1011564</v>
      </c>
      <c r="F31" s="76">
        <f t="shared" si="16"/>
        <v>1260420.5</v>
      </c>
      <c r="G31" s="76">
        <f t="shared" si="16"/>
        <v>1143884.1000000001</v>
      </c>
      <c r="H31" s="76">
        <f t="shared" si="16"/>
        <v>1092350.7</v>
      </c>
      <c r="I31" s="76">
        <f t="shared" si="16"/>
        <v>2058307.6</v>
      </c>
      <c r="J31" s="76">
        <f t="shared" si="16"/>
        <v>1494993.9000000001</v>
      </c>
      <c r="K31" s="76">
        <f t="shared" si="16"/>
        <v>477376.60000000003</v>
      </c>
      <c r="L31" s="76">
        <f t="shared" si="16"/>
        <v>1363063.5</v>
      </c>
      <c r="M31" s="76">
        <f t="shared" si="16"/>
        <v>759190.8</v>
      </c>
      <c r="N31" s="204">
        <f t="shared" si="15"/>
        <v>11691151.700000001</v>
      </c>
      <c r="O31" s="141"/>
    </row>
    <row r="32" spans="1:16" x14ac:dyDescent="0.2">
      <c r="A32" s="100" t="s">
        <v>32</v>
      </c>
      <c r="B32" s="76">
        <f t="shared" ref="B32:M32" si="17">B10*0.1</f>
        <v>46938.100000000006</v>
      </c>
      <c r="C32" s="76">
        <f t="shared" si="17"/>
        <v>106810.1</v>
      </c>
      <c r="D32" s="76">
        <f t="shared" si="17"/>
        <v>112168</v>
      </c>
      <c r="E32" s="76">
        <f t="shared" si="17"/>
        <v>127836.40000000001</v>
      </c>
      <c r="F32" s="76">
        <f t="shared" si="17"/>
        <v>0</v>
      </c>
      <c r="G32" s="76">
        <f t="shared" si="17"/>
        <v>130821.5</v>
      </c>
      <c r="H32" s="76">
        <f t="shared" si="17"/>
        <v>121148</v>
      </c>
      <c r="I32" s="76">
        <f t="shared" si="17"/>
        <v>168095.80000000002</v>
      </c>
      <c r="J32" s="76">
        <f t="shared" si="17"/>
        <v>178487.90000000002</v>
      </c>
      <c r="K32" s="76">
        <f t="shared" si="17"/>
        <v>185119.2</v>
      </c>
      <c r="L32" s="76">
        <f t="shared" si="17"/>
        <v>145870.9</v>
      </c>
      <c r="M32" s="76">
        <f t="shared" si="17"/>
        <v>28776</v>
      </c>
      <c r="N32" s="204">
        <f t="shared" si="15"/>
        <v>1352071.9000000001</v>
      </c>
      <c r="O32" s="141"/>
    </row>
    <row r="33" spans="1:15" ht="13.5" thickBot="1" x14ac:dyDescent="0.25">
      <c r="A33" s="101" t="s">
        <v>33</v>
      </c>
      <c r="B33" s="76">
        <f t="shared" ref="B33:M33" si="18">B11*0.1</f>
        <v>14715.6</v>
      </c>
      <c r="C33" s="76">
        <f t="shared" si="18"/>
        <v>28703.200000000001</v>
      </c>
      <c r="D33" s="76">
        <f t="shared" si="18"/>
        <v>34967.300000000003</v>
      </c>
      <c r="E33" s="76">
        <f t="shared" si="18"/>
        <v>46613</v>
      </c>
      <c r="F33" s="76">
        <f t="shared" si="18"/>
        <v>0</v>
      </c>
      <c r="G33" s="76">
        <f t="shared" si="18"/>
        <v>36258.5</v>
      </c>
      <c r="H33" s="76">
        <f t="shared" si="18"/>
        <v>33347.5</v>
      </c>
      <c r="I33" s="76">
        <f t="shared" si="18"/>
        <v>44623.100000000006</v>
      </c>
      <c r="J33" s="76">
        <f t="shared" si="18"/>
        <v>33241.1</v>
      </c>
      <c r="K33" s="76">
        <f t="shared" si="18"/>
        <v>63133.600000000006</v>
      </c>
      <c r="L33" s="76">
        <f t="shared" si="18"/>
        <v>0</v>
      </c>
      <c r="M33" s="76">
        <f t="shared" si="18"/>
        <v>0</v>
      </c>
      <c r="N33" s="204">
        <f t="shared" si="15"/>
        <v>335602.9</v>
      </c>
      <c r="O33" s="141"/>
    </row>
    <row r="34" spans="1:15" ht="13.5" thickBot="1" x14ac:dyDescent="0.25">
      <c r="A34" s="38" t="s">
        <v>40</v>
      </c>
      <c r="B34" s="144">
        <f>SUM(B29:B33)</f>
        <v>558791.69999999995</v>
      </c>
      <c r="C34" s="144">
        <f t="shared" ref="C34:N34" si="19">SUM(C29:C33)</f>
        <v>1123864.4000000001</v>
      </c>
      <c r="D34" s="144">
        <f t="shared" si="19"/>
        <v>10147135.300000001</v>
      </c>
      <c r="E34" s="144">
        <f t="shared" si="19"/>
        <v>8357655.2000000011</v>
      </c>
      <c r="F34" s="144">
        <f t="shared" si="19"/>
        <v>9834106.7000000011</v>
      </c>
      <c r="G34" s="144">
        <f t="shared" si="19"/>
        <v>7456463.7000000011</v>
      </c>
      <c r="H34" s="144">
        <f t="shared" si="19"/>
        <v>10804394.699999999</v>
      </c>
      <c r="I34" s="144">
        <f t="shared" si="19"/>
        <v>14229716.9</v>
      </c>
      <c r="J34" s="144">
        <f t="shared" si="19"/>
        <v>10844464.200000001</v>
      </c>
      <c r="K34" s="144">
        <f t="shared" si="19"/>
        <v>6335670.2999999998</v>
      </c>
      <c r="L34" s="235">
        <f t="shared" si="19"/>
        <v>9992471.2000000011</v>
      </c>
      <c r="M34" s="235">
        <f t="shared" si="19"/>
        <v>5903291.2999999998</v>
      </c>
      <c r="N34" s="235">
        <f t="shared" si="19"/>
        <v>95588025.600000009</v>
      </c>
      <c r="O34" s="142"/>
    </row>
    <row r="35" spans="1:15" ht="38.25" customHeight="1" x14ac:dyDescent="0.2">
      <c r="A35" s="130" t="s">
        <v>41</v>
      </c>
      <c r="B35" s="147"/>
      <c r="C35" s="147"/>
      <c r="D35" s="147"/>
      <c r="E35" s="147"/>
      <c r="F35" s="147"/>
      <c r="G35" s="147"/>
      <c r="H35" s="147"/>
      <c r="I35" s="147"/>
      <c r="J35" s="147"/>
      <c r="K35" s="147"/>
      <c r="L35" s="147"/>
      <c r="M35" s="147"/>
      <c r="N35" s="147"/>
    </row>
    <row r="36" spans="1:15" x14ac:dyDescent="0.2">
      <c r="A36" s="148"/>
      <c r="B36" s="147"/>
      <c r="C36" s="147"/>
      <c r="D36" s="147"/>
      <c r="E36" s="147"/>
      <c r="F36" s="147"/>
      <c r="G36" s="147"/>
      <c r="H36" s="147"/>
      <c r="I36" s="147"/>
      <c r="J36" s="147"/>
      <c r="K36" s="147"/>
      <c r="L36" s="147"/>
      <c r="M36" s="147"/>
      <c r="N36" s="147"/>
    </row>
  </sheetData>
  <sheetProtection algorithmName="SHA-512" hashValue="Nu90dZXbJTCOzlc2HM1DEbbM386P3OQ69U9dqifzG45pMNK5JeniioEmZsSnERSWvyyTykYdv6c4H7WxICSeVg==" saltValue="rjH7fFJTwqx3u3N7gqsfOw==" spinCount="100000" sheet="1" objects="1" scenarios="1"/>
  <mergeCells count="3">
    <mergeCell ref="A13:B13"/>
    <mergeCell ref="A14:B14"/>
    <mergeCell ref="A15:C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4"/>
  <sheetViews>
    <sheetView zoomScale="90" zoomScaleNormal="90" workbookViewId="0">
      <pane xSplit="1" topLeftCell="B1" activePane="topRight" state="frozen"/>
      <selection pane="topRight" activeCell="G11" sqref="G11"/>
    </sheetView>
  </sheetViews>
  <sheetFormatPr defaultColWidth="9.140625" defaultRowHeight="15" x14ac:dyDescent="0.25"/>
  <cols>
    <col min="1" max="1" width="60.5703125" customWidth="1"/>
    <col min="2" max="2" width="33.42578125" bestFit="1" customWidth="1"/>
    <col min="3" max="17" width="17.42578125" style="9" customWidth="1"/>
    <col min="18" max="18" width="45.85546875" customWidth="1"/>
    <col min="19" max="19" width="11.140625" customWidth="1"/>
    <col min="20" max="20" width="11.5703125" customWidth="1"/>
    <col min="21" max="21" width="13.42578125" customWidth="1"/>
    <col min="22" max="22" width="11.42578125" bestFit="1" customWidth="1"/>
  </cols>
  <sheetData>
    <row r="1" spans="1:21" s="2" customFormat="1" ht="15.75" x14ac:dyDescent="0.25">
      <c r="A1" s="117" t="str">
        <f>'1. Expenditures'!A1</f>
        <v>SOMAH Program Administrator</v>
      </c>
      <c r="C1" s="25"/>
      <c r="D1" s="25"/>
      <c r="E1" s="25"/>
      <c r="F1" s="25"/>
      <c r="G1" s="25"/>
      <c r="H1" s="25"/>
      <c r="I1" s="25"/>
      <c r="J1" s="25"/>
      <c r="K1" s="25"/>
      <c r="L1" s="25"/>
      <c r="M1" s="25"/>
      <c r="N1" s="25"/>
      <c r="O1" s="25"/>
      <c r="P1" s="25"/>
      <c r="Q1" s="25"/>
    </row>
    <row r="2" spans="1:21" x14ac:dyDescent="0.25">
      <c r="A2" s="169" t="str">
        <f>'1. Expenditures'!A2</f>
        <v>Reporting Date: July  31, 2026</v>
      </c>
      <c r="B2" s="6"/>
      <c r="C2" s="26"/>
      <c r="D2" s="26"/>
      <c r="E2" s="26"/>
      <c r="F2" s="26"/>
      <c r="G2" s="26"/>
      <c r="H2" s="26"/>
      <c r="I2" s="26"/>
      <c r="J2" s="26"/>
      <c r="K2" s="26"/>
      <c r="L2" s="26"/>
      <c r="M2" s="26"/>
      <c r="N2" s="26"/>
      <c r="O2" s="26"/>
      <c r="P2" s="26"/>
      <c r="Q2" s="26"/>
      <c r="R2" s="6"/>
      <c r="S2" s="6"/>
      <c r="T2" s="6"/>
      <c r="U2" s="6"/>
    </row>
    <row r="3" spans="1:21" x14ac:dyDescent="0.25">
      <c r="A3" s="169" t="str">
        <f>'1. Expenditures'!A3</f>
        <v>Reporting Data Through: June 30, 2026</v>
      </c>
      <c r="B3" s="6"/>
      <c r="C3" s="26"/>
      <c r="D3" s="26"/>
      <c r="E3" s="26"/>
      <c r="F3" s="26"/>
      <c r="G3" s="26"/>
      <c r="H3" s="26"/>
      <c r="I3" s="26"/>
      <c r="J3" s="26"/>
      <c r="K3" s="26"/>
      <c r="L3" s="26"/>
      <c r="M3" s="26"/>
      <c r="N3" s="26"/>
      <c r="O3" s="26"/>
      <c r="P3" s="26"/>
      <c r="Q3" s="26"/>
      <c r="R3" s="6"/>
      <c r="S3" s="6"/>
      <c r="T3" s="6"/>
      <c r="U3" s="6"/>
    </row>
    <row r="4" spans="1:21" x14ac:dyDescent="0.25">
      <c r="B4" s="24"/>
      <c r="D4" s="26"/>
      <c r="E4" s="26"/>
      <c r="F4" s="26"/>
      <c r="G4" s="26"/>
      <c r="H4" s="26"/>
      <c r="I4" s="26"/>
      <c r="J4" s="26"/>
      <c r="K4" s="26"/>
      <c r="L4" s="26"/>
      <c r="M4" s="26"/>
      <c r="N4" s="26"/>
      <c r="O4" s="26"/>
      <c r="P4" s="26"/>
      <c r="Q4" s="26"/>
      <c r="R4" s="6"/>
      <c r="S4" s="6"/>
      <c r="T4" s="6"/>
      <c r="U4" s="6"/>
    </row>
    <row r="5" spans="1:21" x14ac:dyDescent="0.25">
      <c r="B5" s="24"/>
      <c r="D5" s="26"/>
      <c r="E5" s="26"/>
      <c r="F5" s="26"/>
      <c r="G5" s="26"/>
      <c r="H5" s="26"/>
      <c r="I5" s="26"/>
      <c r="J5" s="26"/>
      <c r="K5" s="26"/>
      <c r="L5" s="26"/>
      <c r="M5" s="26"/>
      <c r="N5" s="26"/>
      <c r="O5" s="26"/>
      <c r="P5" s="26"/>
      <c r="Q5" s="26"/>
      <c r="R5" s="6"/>
      <c r="S5" s="6"/>
      <c r="T5" s="6"/>
      <c r="U5" s="6"/>
    </row>
    <row r="6" spans="1:21" ht="15.75" thickBot="1" x14ac:dyDescent="0.3">
      <c r="A6" s="111" t="s">
        <v>42</v>
      </c>
      <c r="B6" s="24"/>
      <c r="D6" s="26"/>
      <c r="E6" s="26"/>
      <c r="F6" s="26"/>
      <c r="G6" s="26"/>
      <c r="H6" s="26"/>
      <c r="I6" s="26"/>
      <c r="J6" s="26"/>
      <c r="K6" s="26"/>
      <c r="L6" s="26"/>
      <c r="M6" s="26"/>
      <c r="N6" s="26"/>
      <c r="O6" s="26"/>
      <c r="P6" s="26"/>
      <c r="Q6" s="26"/>
      <c r="R6" s="6"/>
      <c r="S6" s="6"/>
      <c r="T6" s="6"/>
      <c r="U6" s="6"/>
    </row>
    <row r="7" spans="1:21" ht="16.5" thickBot="1" x14ac:dyDescent="0.3">
      <c r="A7" s="13" t="s">
        <v>43</v>
      </c>
      <c r="B7" s="17" t="s">
        <v>3</v>
      </c>
      <c r="C7" s="17">
        <v>2018</v>
      </c>
      <c r="D7" s="17" t="s">
        <v>44</v>
      </c>
      <c r="E7" s="26"/>
      <c r="F7" s="26"/>
      <c r="G7" s="26"/>
      <c r="H7" s="26"/>
      <c r="I7" s="26"/>
      <c r="J7" s="26"/>
      <c r="K7" s="26"/>
      <c r="L7" s="26"/>
      <c r="M7" s="26"/>
      <c r="N7" s="26"/>
      <c r="O7" s="26"/>
      <c r="P7" s="26"/>
      <c r="Q7" s="26"/>
      <c r="R7" s="6"/>
      <c r="S7" s="6"/>
      <c r="T7" s="6"/>
      <c r="U7" s="6"/>
    </row>
    <row r="8" spans="1:21" ht="51" x14ac:dyDescent="0.25">
      <c r="A8" s="104" t="s">
        <v>45</v>
      </c>
      <c r="B8" s="96" t="s">
        <v>46</v>
      </c>
      <c r="C8" s="237">
        <v>447264.94000000006</v>
      </c>
      <c r="D8" s="236">
        <v>510287.48249999998</v>
      </c>
      <c r="E8" s="26"/>
      <c r="F8" s="26"/>
      <c r="G8" s="26"/>
      <c r="H8" s="26"/>
      <c r="I8" s="26"/>
      <c r="J8" s="26"/>
      <c r="K8" s="26"/>
      <c r="L8" s="26"/>
      <c r="M8" s="26"/>
      <c r="N8" s="26"/>
      <c r="O8" s="26"/>
      <c r="P8" s="26"/>
      <c r="Q8" s="26"/>
      <c r="R8" s="6"/>
      <c r="S8" s="6"/>
      <c r="T8" s="6"/>
      <c r="U8" s="6"/>
    </row>
    <row r="9" spans="1:21" ht="38.25" x14ac:dyDescent="0.25">
      <c r="A9" s="104" t="s">
        <v>47</v>
      </c>
      <c r="B9" s="94" t="s">
        <v>48</v>
      </c>
      <c r="C9" s="238">
        <v>47468.69</v>
      </c>
      <c r="D9" s="236">
        <v>63202.519000000008</v>
      </c>
      <c r="E9" s="26"/>
      <c r="F9" s="26"/>
      <c r="G9" s="26"/>
      <c r="H9" s="26"/>
      <c r="I9" s="26"/>
      <c r="J9" s="26"/>
      <c r="K9" s="26"/>
      <c r="L9" s="26"/>
      <c r="M9" s="26"/>
      <c r="N9" s="26"/>
      <c r="O9" s="26"/>
      <c r="P9" s="26"/>
      <c r="Q9" s="26"/>
      <c r="R9" s="6"/>
      <c r="S9" s="6"/>
      <c r="T9" s="6"/>
      <c r="U9" s="6"/>
    </row>
    <row r="10" spans="1:21" ht="38.25" x14ac:dyDescent="0.25">
      <c r="A10" s="104" t="s">
        <v>49</v>
      </c>
      <c r="B10" s="94" t="s">
        <v>50</v>
      </c>
      <c r="C10" s="238">
        <v>68595.7</v>
      </c>
      <c r="D10" s="236">
        <v>74420.77</v>
      </c>
      <c r="E10" s="26"/>
      <c r="F10" s="26"/>
      <c r="G10" s="26"/>
      <c r="H10" s="26"/>
      <c r="I10" s="26"/>
      <c r="J10" s="26"/>
      <c r="K10" s="26"/>
      <c r="L10" s="26"/>
      <c r="M10" s="26"/>
      <c r="N10" s="26"/>
      <c r="O10" s="26"/>
      <c r="P10" s="26"/>
      <c r="Q10" s="26"/>
      <c r="R10" s="6"/>
      <c r="S10" s="6"/>
      <c r="T10" s="6"/>
      <c r="U10" s="6"/>
    </row>
    <row r="11" spans="1:21" ht="25.5" x14ac:dyDescent="0.25">
      <c r="A11" s="104" t="s">
        <v>51</v>
      </c>
      <c r="B11" s="96" t="s">
        <v>52</v>
      </c>
      <c r="C11" s="238">
        <v>24375.119999999999</v>
      </c>
      <c r="D11" s="236">
        <v>30119.42</v>
      </c>
      <c r="E11" s="26"/>
      <c r="F11" s="26"/>
      <c r="G11" s="26"/>
      <c r="H11" s="26"/>
      <c r="I11" s="26"/>
      <c r="J11" s="26"/>
      <c r="K11" s="26"/>
      <c r="L11" s="26"/>
      <c r="M11" s="26"/>
      <c r="N11" s="26"/>
      <c r="O11" s="26"/>
      <c r="P11" s="26"/>
      <c r="Q11" s="26"/>
      <c r="R11" s="6"/>
      <c r="S11" s="6"/>
      <c r="T11" s="6"/>
      <c r="U11" s="6"/>
    </row>
    <row r="12" spans="1:21" ht="25.5" x14ac:dyDescent="0.25">
      <c r="A12" s="104" t="s">
        <v>53</v>
      </c>
      <c r="B12" s="94" t="s">
        <v>54</v>
      </c>
      <c r="C12" s="238">
        <v>0</v>
      </c>
      <c r="D12" s="236">
        <v>1498.24</v>
      </c>
      <c r="E12" s="26"/>
      <c r="F12" s="26"/>
      <c r="G12" s="26"/>
      <c r="H12" s="26"/>
      <c r="I12" s="26"/>
      <c r="J12" s="26"/>
      <c r="K12" s="26"/>
      <c r="L12" s="26"/>
      <c r="M12" s="26"/>
      <c r="N12" s="26"/>
      <c r="O12" s="26"/>
      <c r="P12" s="26"/>
      <c r="Q12" s="26"/>
      <c r="R12" s="6"/>
      <c r="S12" s="6"/>
      <c r="T12" s="6"/>
      <c r="U12" s="6"/>
    </row>
    <row r="13" spans="1:21" ht="25.5" x14ac:dyDescent="0.25">
      <c r="A13" s="104" t="s">
        <v>55</v>
      </c>
      <c r="B13" s="94" t="s">
        <v>56</v>
      </c>
      <c r="C13" s="238">
        <v>0</v>
      </c>
      <c r="D13" s="236">
        <v>289.22000000000003</v>
      </c>
      <c r="E13" s="26"/>
      <c r="F13" s="26"/>
      <c r="G13" s="26"/>
      <c r="H13" s="26"/>
      <c r="I13" s="26"/>
      <c r="J13" s="26"/>
      <c r="K13" s="26"/>
      <c r="L13" s="26"/>
      <c r="M13" s="26"/>
      <c r="N13" s="26"/>
      <c r="O13" s="26"/>
      <c r="P13" s="26"/>
      <c r="Q13" s="26"/>
      <c r="R13" s="6"/>
      <c r="S13" s="6"/>
      <c r="T13" s="6"/>
      <c r="U13" s="6"/>
    </row>
    <row r="14" spans="1:21" ht="25.5" x14ac:dyDescent="0.25">
      <c r="A14" s="104" t="s">
        <v>57</v>
      </c>
      <c r="B14" s="96" t="s">
        <v>58</v>
      </c>
      <c r="C14" s="238">
        <v>5442.16</v>
      </c>
      <c r="D14" s="236">
        <v>12825.99</v>
      </c>
      <c r="E14" s="26"/>
      <c r="F14" s="26"/>
      <c r="G14" s="26"/>
      <c r="H14" s="26"/>
      <c r="I14" s="26"/>
      <c r="J14" s="26"/>
      <c r="K14" s="26"/>
      <c r="L14" s="26"/>
      <c r="M14" s="26"/>
      <c r="N14" s="26"/>
      <c r="O14" s="26"/>
      <c r="P14" s="26"/>
      <c r="Q14" s="26"/>
      <c r="R14" s="6"/>
      <c r="S14" s="6"/>
      <c r="T14" s="6"/>
      <c r="U14" s="6"/>
    </row>
    <row r="15" spans="1:21" ht="15.75" thickBot="1" x14ac:dyDescent="0.3">
      <c r="A15" s="104" t="s">
        <v>59</v>
      </c>
      <c r="B15" s="94" t="s">
        <v>60</v>
      </c>
      <c r="C15" s="238">
        <v>1294332.44</v>
      </c>
      <c r="D15" s="236">
        <v>99151.984999999986</v>
      </c>
      <c r="E15" s="26"/>
      <c r="F15" s="26"/>
      <c r="G15" s="26"/>
      <c r="H15" s="26"/>
      <c r="I15" s="26"/>
      <c r="J15" s="26"/>
      <c r="K15" s="26"/>
      <c r="L15" s="26"/>
      <c r="M15" s="26"/>
      <c r="N15" s="26"/>
      <c r="O15" s="26"/>
      <c r="P15" s="26"/>
      <c r="Q15" s="26"/>
      <c r="R15" s="6"/>
      <c r="S15" s="6"/>
      <c r="T15" s="6"/>
      <c r="U15" s="6"/>
    </row>
    <row r="16" spans="1:21" ht="16.5" thickBot="1" x14ac:dyDescent="0.3">
      <c r="A16" s="15" t="s">
        <v>61</v>
      </c>
      <c r="B16" s="15"/>
      <c r="C16" s="16">
        <f t="shared" ref="C16:D16" si="0">SUM(C8:C15)</f>
        <v>1887479.05</v>
      </c>
      <c r="D16" s="80">
        <f t="shared" si="0"/>
        <v>791795.62650000001</v>
      </c>
      <c r="E16" s="26"/>
      <c r="F16" s="26"/>
      <c r="G16" s="26"/>
      <c r="H16" s="26"/>
      <c r="I16" s="26"/>
      <c r="J16" s="26"/>
      <c r="K16" s="26"/>
      <c r="L16" s="26"/>
      <c r="M16" s="26"/>
      <c r="N16" s="26"/>
      <c r="O16" s="26"/>
      <c r="P16" s="26"/>
      <c r="Q16" s="26"/>
      <c r="R16" s="6"/>
      <c r="S16" s="6"/>
      <c r="T16" s="6"/>
      <c r="U16" s="6"/>
    </row>
    <row r="17" spans="1:21" x14ac:dyDescent="0.25">
      <c r="B17" s="24"/>
      <c r="D17" s="26"/>
      <c r="E17" s="26"/>
      <c r="F17" s="26"/>
      <c r="G17" s="26"/>
      <c r="H17" s="26"/>
      <c r="I17" s="26"/>
      <c r="J17" s="26"/>
      <c r="K17" s="26"/>
      <c r="L17" s="26"/>
      <c r="M17" s="26"/>
      <c r="N17" s="26"/>
      <c r="O17" s="26"/>
      <c r="P17" s="26"/>
      <c r="Q17" s="26"/>
      <c r="R17" s="6"/>
      <c r="S17" s="6"/>
      <c r="T17" s="6"/>
      <c r="U17" s="6"/>
    </row>
    <row r="18" spans="1:21" x14ac:dyDescent="0.25">
      <c r="B18" s="24"/>
      <c r="D18" s="26"/>
      <c r="E18" s="26"/>
      <c r="F18" s="26"/>
      <c r="G18" s="26"/>
      <c r="H18" s="26"/>
      <c r="I18" s="26"/>
      <c r="J18" s="26"/>
      <c r="K18" s="26"/>
      <c r="L18" s="26"/>
      <c r="M18" s="26"/>
      <c r="N18" s="26"/>
      <c r="O18" s="26"/>
      <c r="P18" s="26"/>
      <c r="Q18" s="26"/>
      <c r="R18" s="6"/>
      <c r="S18" s="6"/>
      <c r="T18" s="6"/>
      <c r="U18" s="6"/>
    </row>
    <row r="19" spans="1:21" ht="27" thickBot="1" x14ac:dyDescent="0.3">
      <c r="A19" s="111" t="s">
        <v>345</v>
      </c>
      <c r="B19" s="24"/>
      <c r="C19" s="26"/>
      <c r="D19" s="26"/>
      <c r="E19" s="26"/>
      <c r="F19" s="26"/>
      <c r="G19" s="26"/>
      <c r="H19" s="26"/>
      <c r="I19" s="26"/>
      <c r="J19" s="26"/>
      <c r="K19" s="26"/>
      <c r="L19" s="26"/>
      <c r="M19" s="26"/>
      <c r="N19" s="26"/>
      <c r="O19" s="26"/>
      <c r="P19" s="26"/>
      <c r="Q19" s="26"/>
      <c r="R19" s="6"/>
      <c r="S19" s="6"/>
      <c r="T19" s="6"/>
      <c r="U19" s="6"/>
    </row>
    <row r="20" spans="1:21" s="3" customFormat="1" ht="16.5" thickBot="1" x14ac:dyDescent="0.3">
      <c r="A20" s="13" t="s">
        <v>62</v>
      </c>
      <c r="B20" s="17" t="s">
        <v>3</v>
      </c>
      <c r="C20" s="17" t="s">
        <v>63</v>
      </c>
      <c r="D20" s="17">
        <v>2020</v>
      </c>
      <c r="E20" s="17">
        <v>2021</v>
      </c>
      <c r="F20" s="17">
        <v>2022</v>
      </c>
      <c r="G20" s="17">
        <v>2023</v>
      </c>
      <c r="H20" s="17">
        <v>2024</v>
      </c>
      <c r="I20" s="17">
        <v>2025</v>
      </c>
      <c r="J20" s="17">
        <v>2026</v>
      </c>
      <c r="K20" s="17">
        <v>2027</v>
      </c>
      <c r="L20" s="17">
        <v>2028</v>
      </c>
      <c r="M20" s="17">
        <v>2029</v>
      </c>
      <c r="N20" s="17">
        <v>2030</v>
      </c>
      <c r="O20" s="17">
        <v>2031</v>
      </c>
      <c r="P20" s="17">
        <v>2032</v>
      </c>
      <c r="Q20" s="18" t="s">
        <v>28</v>
      </c>
      <c r="R20" s="14" t="s">
        <v>64</v>
      </c>
    </row>
    <row r="21" spans="1:21" ht="28.5" customHeight="1" x14ac:dyDescent="0.25">
      <c r="A21" s="87" t="s">
        <v>65</v>
      </c>
      <c r="B21" s="129" t="s">
        <v>66</v>
      </c>
      <c r="C21" s="236">
        <v>81812.935000000012</v>
      </c>
      <c r="D21" s="81">
        <v>163382.42800000001</v>
      </c>
      <c r="E21" s="81">
        <v>169513.96423997192</v>
      </c>
      <c r="F21" s="81">
        <v>151242.02544799997</v>
      </c>
      <c r="G21" s="81">
        <v>149282.70250000001</v>
      </c>
      <c r="H21" s="81">
        <v>149231.28300000002</v>
      </c>
      <c r="I21" s="81">
        <v>128177.66999999998</v>
      </c>
      <c r="J21" s="81">
        <v>64974.35</v>
      </c>
      <c r="K21" s="54"/>
      <c r="L21" s="54"/>
      <c r="M21" s="54"/>
      <c r="N21" s="54"/>
      <c r="O21" s="54"/>
      <c r="P21" s="54"/>
      <c r="Q21" s="11">
        <f>SUM(C21:P21)</f>
        <v>1057617.3581879721</v>
      </c>
      <c r="R21" s="51"/>
    </row>
    <row r="22" spans="1:21" ht="25.5" x14ac:dyDescent="0.25">
      <c r="A22" s="87" t="s">
        <v>67</v>
      </c>
      <c r="B22" s="96" t="s">
        <v>68</v>
      </c>
      <c r="C22" s="236">
        <v>658228.04500000016</v>
      </c>
      <c r="D22" s="81">
        <v>1003703.5407000015</v>
      </c>
      <c r="E22" s="81">
        <v>982892.76619999972</v>
      </c>
      <c r="F22" s="81">
        <v>950411.29682624945</v>
      </c>
      <c r="G22" s="81">
        <v>959181.86499999999</v>
      </c>
      <c r="H22" s="81">
        <v>846133.84699999914</v>
      </c>
      <c r="I22" s="81">
        <v>829475.83000000007</v>
      </c>
      <c r="J22" s="81">
        <v>429703.68000000011</v>
      </c>
      <c r="K22" s="54"/>
      <c r="L22" s="54"/>
      <c r="M22" s="54"/>
      <c r="N22" s="54"/>
      <c r="O22" s="54"/>
      <c r="P22" s="54"/>
      <c r="Q22" s="11">
        <f t="shared" ref="Q22:Q33" si="1">SUM(C22:P22)</f>
        <v>6659730.8707262492</v>
      </c>
      <c r="R22" s="51"/>
    </row>
    <row r="23" spans="1:21" ht="38.25" x14ac:dyDescent="0.25">
      <c r="A23" s="88" t="s">
        <v>47</v>
      </c>
      <c r="B23" s="94" t="s">
        <v>69</v>
      </c>
      <c r="C23" s="236">
        <v>274563.86</v>
      </c>
      <c r="D23" s="81">
        <v>348008.77249999996</v>
      </c>
      <c r="E23" s="81">
        <v>377373.58509999991</v>
      </c>
      <c r="F23" s="81">
        <v>411394.29749999987</v>
      </c>
      <c r="G23" s="81">
        <v>407253.61</v>
      </c>
      <c r="H23" s="81">
        <v>353284.4149999998</v>
      </c>
      <c r="I23" s="81">
        <v>332169.6399999999</v>
      </c>
      <c r="J23" s="81">
        <v>160326.08250000002</v>
      </c>
      <c r="K23" s="56"/>
      <c r="L23" s="53"/>
      <c r="M23" s="53"/>
      <c r="N23" s="53"/>
      <c r="O23" s="53"/>
      <c r="P23" s="53"/>
      <c r="Q23" s="11">
        <f t="shared" si="1"/>
        <v>2664374.2625999996</v>
      </c>
      <c r="R23" s="51"/>
      <c r="S23" s="27"/>
    </row>
    <row r="24" spans="1:21" ht="25.5" x14ac:dyDescent="0.25">
      <c r="A24" s="88" t="s">
        <v>49</v>
      </c>
      <c r="B24" s="94" t="s">
        <v>70</v>
      </c>
      <c r="C24" s="236">
        <v>395808.3000000001</v>
      </c>
      <c r="D24" s="81">
        <v>490504.99520000006</v>
      </c>
      <c r="E24" s="81">
        <v>324044.43</v>
      </c>
      <c r="F24" s="81">
        <v>289306.90749999997</v>
      </c>
      <c r="G24" s="81">
        <v>353247.46999999986</v>
      </c>
      <c r="H24" s="81">
        <v>329321.86750000005</v>
      </c>
      <c r="I24" s="81">
        <v>312288.89</v>
      </c>
      <c r="J24" s="81">
        <v>112519.51</v>
      </c>
      <c r="K24" s="57"/>
      <c r="L24" s="55"/>
      <c r="M24" s="55"/>
      <c r="N24" s="55"/>
      <c r="O24" s="55"/>
      <c r="P24" s="55"/>
      <c r="Q24" s="11">
        <f t="shared" si="1"/>
        <v>2607042.3702000002</v>
      </c>
      <c r="R24" s="51"/>
      <c r="S24" s="27"/>
    </row>
    <row r="25" spans="1:21" ht="51" x14ac:dyDescent="0.25">
      <c r="A25" s="88" t="s">
        <v>51</v>
      </c>
      <c r="B25" s="94" t="s">
        <v>71</v>
      </c>
      <c r="C25" s="236">
        <v>263037.65999999997</v>
      </c>
      <c r="D25" s="81">
        <v>560939.73100000015</v>
      </c>
      <c r="E25" s="81">
        <v>554579.30149475206</v>
      </c>
      <c r="F25" s="81">
        <v>534842.03474349994</v>
      </c>
      <c r="G25" s="81">
        <v>485586.16499999998</v>
      </c>
      <c r="H25" s="81">
        <v>415989.06289999996</v>
      </c>
      <c r="I25" s="81">
        <v>406664.20999999996</v>
      </c>
      <c r="J25" s="81">
        <v>235447.14249999993</v>
      </c>
      <c r="K25" s="55"/>
      <c r="L25" s="55"/>
      <c r="M25" s="55"/>
      <c r="N25" s="55"/>
      <c r="O25" s="55"/>
      <c r="P25" s="55"/>
      <c r="Q25" s="11">
        <f t="shared" si="1"/>
        <v>3457085.3076382517</v>
      </c>
      <c r="R25" s="51"/>
      <c r="S25" s="27"/>
    </row>
    <row r="26" spans="1:21" ht="25.5" x14ac:dyDescent="0.25">
      <c r="A26" s="88" t="s">
        <v>53</v>
      </c>
      <c r="B26" s="94" t="s">
        <v>72</v>
      </c>
      <c r="C26" s="236">
        <v>289881.26000000013</v>
      </c>
      <c r="D26" s="81">
        <v>595826.50000000093</v>
      </c>
      <c r="E26" s="81">
        <v>697744.84844794928</v>
      </c>
      <c r="F26" s="81">
        <v>640231.0139739993</v>
      </c>
      <c r="G26" s="81">
        <v>646672.94000000122</v>
      </c>
      <c r="H26" s="81">
        <v>684345.1599999998</v>
      </c>
      <c r="I26" s="81">
        <v>631127.76000000036</v>
      </c>
      <c r="J26" s="81">
        <v>295111.79999999964</v>
      </c>
      <c r="K26" s="55"/>
      <c r="L26" s="55"/>
      <c r="M26" s="55"/>
      <c r="N26" s="55"/>
      <c r="O26" s="55"/>
      <c r="P26" s="55"/>
      <c r="Q26" s="11">
        <f t="shared" si="1"/>
        <v>4480941.2824219503</v>
      </c>
      <c r="R26" s="51"/>
      <c r="S26" s="27"/>
    </row>
    <row r="27" spans="1:21" ht="25.5" x14ac:dyDescent="0.25">
      <c r="A27" s="88" t="s">
        <v>73</v>
      </c>
      <c r="B27" s="94" t="s">
        <v>74</v>
      </c>
      <c r="C27" s="236">
        <v>58518.430000000015</v>
      </c>
      <c r="D27" s="81">
        <v>3994.92</v>
      </c>
      <c r="E27" s="81">
        <v>97855.409999999989</v>
      </c>
      <c r="F27" s="81">
        <v>172966.29749999999</v>
      </c>
      <c r="G27" s="81">
        <v>117680.99999999999</v>
      </c>
      <c r="H27" s="81">
        <v>252802.8475</v>
      </c>
      <c r="I27" s="81">
        <v>220895.35999999996</v>
      </c>
      <c r="J27" s="81">
        <v>132242.37749999994</v>
      </c>
      <c r="K27" s="55"/>
      <c r="L27" s="55"/>
      <c r="M27" s="55"/>
      <c r="N27" s="55"/>
      <c r="O27" s="55"/>
      <c r="P27" s="55"/>
      <c r="Q27" s="11">
        <f t="shared" si="1"/>
        <v>1056956.6425000001</v>
      </c>
      <c r="R27" s="51"/>
      <c r="S27" s="27"/>
    </row>
    <row r="28" spans="1:21" ht="38.25" x14ac:dyDescent="0.25">
      <c r="A28" s="89" t="s">
        <v>57</v>
      </c>
      <c r="B28" s="88" t="s">
        <v>75</v>
      </c>
      <c r="C28" s="236">
        <v>99845.383000000016</v>
      </c>
      <c r="D28" s="81">
        <v>96631.86500000002</v>
      </c>
      <c r="E28" s="81">
        <v>90744.322500000009</v>
      </c>
      <c r="F28" s="81">
        <v>99461.099999999991</v>
      </c>
      <c r="G28" s="81">
        <v>115230.76999999999</v>
      </c>
      <c r="H28" s="81">
        <v>79677.329999999987</v>
      </c>
      <c r="I28" s="81">
        <v>76821.989999999991</v>
      </c>
      <c r="J28" s="81">
        <v>29277.24</v>
      </c>
      <c r="K28" s="55"/>
      <c r="L28" s="55"/>
      <c r="M28" s="55"/>
      <c r="N28" s="55"/>
      <c r="O28" s="55"/>
      <c r="P28" s="55"/>
      <c r="Q28" s="11">
        <f t="shared" si="1"/>
        <v>687690.00049999997</v>
      </c>
      <c r="R28" s="51"/>
      <c r="S28" s="27"/>
    </row>
    <row r="29" spans="1:21" ht="51" x14ac:dyDescent="0.25">
      <c r="A29" s="88" t="s">
        <v>76</v>
      </c>
      <c r="B29" s="88" t="s">
        <v>77</v>
      </c>
      <c r="C29" s="236">
        <v>104217.07499999998</v>
      </c>
      <c r="D29" s="81">
        <v>276131.39249999996</v>
      </c>
      <c r="E29" s="81">
        <v>179258.92902500002</v>
      </c>
      <c r="F29" s="81">
        <v>209993.069487</v>
      </c>
      <c r="G29" s="81">
        <v>156323.03799999997</v>
      </c>
      <c r="H29" s="81">
        <v>119059.53499999999</v>
      </c>
      <c r="I29" s="81">
        <v>244615.16</v>
      </c>
      <c r="J29" s="81">
        <v>118291.65999999999</v>
      </c>
      <c r="K29" s="55"/>
      <c r="L29" s="55"/>
      <c r="M29" s="55"/>
      <c r="N29" s="55"/>
      <c r="O29" s="55"/>
      <c r="P29" s="55"/>
      <c r="Q29" s="11">
        <f t="shared" si="1"/>
        <v>1407889.8590119998</v>
      </c>
      <c r="R29" s="51"/>
      <c r="S29" s="27"/>
    </row>
    <row r="30" spans="1:21" ht="38.25" x14ac:dyDescent="0.25">
      <c r="A30" s="88" t="s">
        <v>78</v>
      </c>
      <c r="B30" s="88" t="s">
        <v>79</v>
      </c>
      <c r="C30" s="236">
        <v>230711.61999999997</v>
      </c>
      <c r="D30" s="81">
        <v>133861.43</v>
      </c>
      <c r="E30" s="81">
        <v>78244.079999999987</v>
      </c>
      <c r="F30" s="81">
        <v>99932.83</v>
      </c>
      <c r="G30" s="81">
        <v>94234.584999999992</v>
      </c>
      <c r="H30" s="81">
        <v>65675.107499999998</v>
      </c>
      <c r="I30" s="81">
        <v>68157.460000000006</v>
      </c>
      <c r="J30" s="81">
        <v>2915.1800000000003</v>
      </c>
      <c r="K30" s="57"/>
      <c r="L30" s="57"/>
      <c r="M30" s="57"/>
      <c r="N30" s="57"/>
      <c r="O30" s="55"/>
      <c r="P30" s="55"/>
      <c r="Q30" s="11">
        <f t="shared" si="1"/>
        <v>773732.29249999986</v>
      </c>
      <c r="R30" s="51"/>
      <c r="S30" s="27"/>
    </row>
    <row r="31" spans="1:21" ht="25.5" x14ac:dyDescent="0.25">
      <c r="A31" s="88" t="s">
        <v>80</v>
      </c>
      <c r="B31" s="88" t="s">
        <v>81</v>
      </c>
      <c r="C31" s="236">
        <v>54361.867500000008</v>
      </c>
      <c r="D31" s="81">
        <v>135339.39250000002</v>
      </c>
      <c r="E31" s="81">
        <v>73052.781300000002</v>
      </c>
      <c r="F31" s="81">
        <v>50482.047947999999</v>
      </c>
      <c r="G31" s="81">
        <v>41135.85</v>
      </c>
      <c r="H31" s="81">
        <v>67491.904999999999</v>
      </c>
      <c r="I31" s="81">
        <v>47116.56</v>
      </c>
      <c r="J31" s="81">
        <v>13035.084999999999</v>
      </c>
      <c r="K31" s="57"/>
      <c r="L31" s="57"/>
      <c r="M31" s="57"/>
      <c r="N31" s="57"/>
      <c r="O31" s="55"/>
      <c r="P31" s="55"/>
      <c r="Q31" s="11">
        <f t="shared" si="1"/>
        <v>482015.48924800009</v>
      </c>
      <c r="R31" s="51"/>
      <c r="S31" s="27"/>
    </row>
    <row r="32" spans="1:21" x14ac:dyDescent="0.25">
      <c r="A32" s="88" t="s">
        <v>82</v>
      </c>
      <c r="B32" s="88" t="s">
        <v>83</v>
      </c>
      <c r="C32" s="236">
        <v>59625.080000000024</v>
      </c>
      <c r="D32" s="81">
        <v>117365.76999999999</v>
      </c>
      <c r="E32" s="81">
        <v>146514.36999999994</v>
      </c>
      <c r="F32" s="81">
        <v>82695.23000000001</v>
      </c>
      <c r="G32" s="81">
        <v>72082.81</v>
      </c>
      <c r="H32" s="81">
        <v>72800.397500000006</v>
      </c>
      <c r="I32" s="81">
        <v>73664.470000000016</v>
      </c>
      <c r="J32" s="81">
        <v>30853.540000000005</v>
      </c>
      <c r="K32" s="57"/>
      <c r="L32" s="57"/>
      <c r="M32" s="57"/>
      <c r="N32" s="57"/>
      <c r="O32" s="55"/>
      <c r="P32" s="55"/>
      <c r="Q32" s="11">
        <f t="shared" si="1"/>
        <v>655601.66749999998</v>
      </c>
      <c r="R32" s="51"/>
      <c r="S32" s="27"/>
    </row>
    <row r="33" spans="1:19" ht="39" thickBot="1" x14ac:dyDescent="0.3">
      <c r="A33" s="121" t="s">
        <v>84</v>
      </c>
      <c r="B33" s="93" t="s">
        <v>85</v>
      </c>
      <c r="C33" s="236">
        <v>6179.2300000000005</v>
      </c>
      <c r="D33" s="81">
        <v>81798.545000000027</v>
      </c>
      <c r="E33" s="81">
        <v>47715.372499999998</v>
      </c>
      <c r="F33" s="81">
        <v>15111.989999999998</v>
      </c>
      <c r="G33" s="81">
        <v>11419.82</v>
      </c>
      <c r="H33" s="81">
        <v>0</v>
      </c>
      <c r="I33" s="81">
        <v>0</v>
      </c>
      <c r="J33" s="81">
        <v>0</v>
      </c>
      <c r="K33" s="58"/>
      <c r="L33" s="58"/>
      <c r="M33" s="58"/>
      <c r="N33" s="58"/>
      <c r="O33" s="58"/>
      <c r="P33" s="58"/>
      <c r="Q33" s="11">
        <f t="shared" si="1"/>
        <v>162224.95750000002</v>
      </c>
      <c r="R33" s="120"/>
      <c r="S33" s="27"/>
    </row>
    <row r="34" spans="1:19" s="3" customFormat="1" ht="16.5" thickBot="1" x14ac:dyDescent="0.3">
      <c r="A34" s="125" t="s">
        <v>86</v>
      </c>
      <c r="B34" s="126"/>
      <c r="C34" s="80">
        <f>SUM(C21:C33)</f>
        <v>2576790.7455000011</v>
      </c>
      <c r="D34" s="137">
        <f t="shared" ref="D34:P34" si="2">SUM(D21:D33)</f>
        <v>4007489.2824000027</v>
      </c>
      <c r="E34" s="80">
        <f t="shared" si="2"/>
        <v>3819534.1608076734</v>
      </c>
      <c r="F34" s="80">
        <f t="shared" si="2"/>
        <v>3708070.1409267485</v>
      </c>
      <c r="G34" s="80">
        <f t="shared" si="2"/>
        <v>3609332.625500001</v>
      </c>
      <c r="H34" s="80">
        <f t="shared" si="2"/>
        <v>3435812.7578999992</v>
      </c>
      <c r="I34" s="80">
        <f t="shared" si="2"/>
        <v>3371175</v>
      </c>
      <c r="J34" s="80">
        <f t="shared" si="2"/>
        <v>1624697.6474999995</v>
      </c>
      <c r="K34" s="80">
        <f t="shared" si="2"/>
        <v>0</v>
      </c>
      <c r="L34" s="80">
        <f t="shared" si="2"/>
        <v>0</v>
      </c>
      <c r="M34" s="80">
        <f t="shared" si="2"/>
        <v>0</v>
      </c>
      <c r="N34" s="80">
        <f t="shared" si="2"/>
        <v>0</v>
      </c>
      <c r="O34" s="80">
        <f t="shared" si="2"/>
        <v>0</v>
      </c>
      <c r="P34" s="80">
        <f t="shared" si="2"/>
        <v>0</v>
      </c>
      <c r="Q34" s="75">
        <f>SUM(C34:P34)+(C16+D16)</f>
        <v>28832177.03703443</v>
      </c>
      <c r="R34" s="127" t="s">
        <v>87</v>
      </c>
    </row>
    <row r="36" spans="1:19" ht="90" x14ac:dyDescent="0.25">
      <c r="A36" s="110" t="s">
        <v>88</v>
      </c>
      <c r="C36" s="12"/>
      <c r="D36" s="25"/>
      <c r="E36" s="25"/>
      <c r="F36" s="25"/>
      <c r="G36" s="25"/>
      <c r="H36" s="25"/>
      <c r="I36" s="25"/>
      <c r="J36" s="25"/>
      <c r="K36" s="25"/>
      <c r="L36" s="25"/>
      <c r="M36" s="25"/>
      <c r="N36" s="25"/>
      <c r="O36" s="25"/>
      <c r="P36" s="25"/>
      <c r="Q36" s="123"/>
    </row>
    <row r="37" spans="1:19" x14ac:dyDescent="0.25">
      <c r="A37" s="110"/>
      <c r="C37"/>
      <c r="D37"/>
      <c r="E37"/>
      <c r="F37"/>
      <c r="G37"/>
      <c r="H37"/>
      <c r="I37"/>
      <c r="J37"/>
      <c r="K37"/>
      <c r="L37"/>
      <c r="M37"/>
      <c r="N37"/>
      <c r="O37"/>
      <c r="P37"/>
      <c r="Q37"/>
    </row>
    <row r="38" spans="1:19" x14ac:dyDescent="0.25">
      <c r="C38"/>
      <c r="D38"/>
      <c r="E38"/>
      <c r="F38"/>
      <c r="G38"/>
      <c r="H38"/>
      <c r="I38"/>
      <c r="J38"/>
      <c r="K38"/>
      <c r="L38"/>
      <c r="M38"/>
      <c r="N38"/>
      <c r="O38"/>
      <c r="P38"/>
      <c r="Q38"/>
    </row>
    <row r="39" spans="1:19" x14ac:dyDescent="0.25">
      <c r="C39"/>
      <c r="D39"/>
      <c r="E39"/>
      <c r="F39"/>
      <c r="G39"/>
      <c r="H39"/>
      <c r="I39"/>
      <c r="J39"/>
      <c r="K39"/>
      <c r="L39"/>
      <c r="M39"/>
      <c r="N39"/>
      <c r="O39"/>
      <c r="P39"/>
      <c r="Q39"/>
    </row>
    <row r="40" spans="1:19" x14ac:dyDescent="0.25">
      <c r="C40"/>
      <c r="D40"/>
      <c r="E40"/>
      <c r="F40"/>
      <c r="G40"/>
      <c r="H40"/>
      <c r="I40"/>
      <c r="J40"/>
      <c r="K40"/>
      <c r="L40"/>
      <c r="M40"/>
      <c r="N40"/>
      <c r="O40"/>
      <c r="P40"/>
      <c r="Q40"/>
    </row>
    <row r="41" spans="1:19" x14ac:dyDescent="0.25">
      <c r="C41"/>
      <c r="D41"/>
      <c r="E41"/>
      <c r="F41"/>
      <c r="G41"/>
      <c r="H41"/>
      <c r="I41"/>
      <c r="J41"/>
      <c r="K41"/>
      <c r="L41"/>
      <c r="M41"/>
      <c r="N41"/>
      <c r="O41"/>
      <c r="P41"/>
      <c r="Q41"/>
    </row>
    <row r="42" spans="1:19" x14ac:dyDescent="0.25">
      <c r="C42"/>
      <c r="D42"/>
      <c r="E42"/>
      <c r="F42"/>
      <c r="G42"/>
      <c r="H42"/>
      <c r="I42"/>
      <c r="J42"/>
      <c r="K42"/>
      <c r="L42"/>
      <c r="M42"/>
      <c r="N42"/>
      <c r="O42"/>
      <c r="P42"/>
      <c r="Q42"/>
    </row>
    <row r="43" spans="1:19" x14ac:dyDescent="0.25">
      <c r="C43"/>
      <c r="D43"/>
      <c r="E43"/>
      <c r="F43"/>
      <c r="G43"/>
      <c r="H43"/>
      <c r="I43"/>
      <c r="J43"/>
      <c r="K43"/>
      <c r="L43"/>
      <c r="M43"/>
      <c r="N43"/>
      <c r="O43"/>
      <c r="P43"/>
      <c r="Q43"/>
    </row>
    <row r="44" spans="1:19" x14ac:dyDescent="0.25">
      <c r="C44"/>
      <c r="D44"/>
      <c r="E44"/>
      <c r="F44"/>
      <c r="G44"/>
      <c r="H44"/>
      <c r="I44"/>
      <c r="J44"/>
      <c r="K44"/>
      <c r="L44"/>
      <c r="M44"/>
      <c r="N44"/>
      <c r="O44"/>
      <c r="P44"/>
      <c r="Q44"/>
    </row>
    <row r="45" spans="1:19" x14ac:dyDescent="0.25">
      <c r="C45"/>
      <c r="D45"/>
      <c r="E45"/>
      <c r="F45"/>
      <c r="G45"/>
      <c r="H45"/>
      <c r="I45"/>
      <c r="J45"/>
      <c r="K45"/>
      <c r="L45"/>
      <c r="M45"/>
      <c r="N45"/>
      <c r="O45"/>
      <c r="P45"/>
      <c r="Q45"/>
    </row>
    <row r="46" spans="1:19" x14ac:dyDescent="0.25">
      <c r="C46"/>
    </row>
    <row r="47" spans="1:19" x14ac:dyDescent="0.25">
      <c r="C47"/>
      <c r="D47"/>
      <c r="E47"/>
      <c r="F47"/>
      <c r="G47"/>
      <c r="H47"/>
      <c r="I47"/>
      <c r="J47"/>
      <c r="K47"/>
      <c r="L47"/>
      <c r="M47"/>
      <c r="N47"/>
      <c r="O47"/>
      <c r="P47"/>
      <c r="Q47"/>
    </row>
    <row r="48" spans="1:19" x14ac:dyDescent="0.25">
      <c r="C48"/>
      <c r="D48"/>
      <c r="E48"/>
      <c r="F48"/>
      <c r="G48"/>
      <c r="H48"/>
      <c r="I48"/>
      <c r="J48"/>
      <c r="K48"/>
      <c r="L48"/>
      <c r="M48"/>
      <c r="N48"/>
      <c r="O48"/>
      <c r="P48"/>
      <c r="Q48"/>
    </row>
    <row r="49" customFormat="1" x14ac:dyDescent="0.25"/>
    <row r="50" customFormat="1" x14ac:dyDescent="0.25"/>
    <row r="51" customFormat="1" x14ac:dyDescent="0.25"/>
    <row r="52" customFormat="1" x14ac:dyDescent="0.25"/>
    <row r="53" customFormat="1" x14ac:dyDescent="0.25"/>
    <row r="54" customFormat="1" x14ac:dyDescent="0.25"/>
  </sheetData>
  <sheetProtection algorithmName="SHA-512" hashValue="R9pCFVnpbW2hoHtkjQCPWOzV8A/RJ9HQAEmA6XyYAM0rINM3l3jrwP3AYxhqiMowQKSzRBmiuHr1CKBgNGhghw==" saltValue="jkdQV/n+9zyABcH54Cc8DA=="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70"/>
  <sheetViews>
    <sheetView topLeftCell="A8" zoomScale="90" zoomScaleNormal="90" workbookViewId="0">
      <pane xSplit="1" topLeftCell="B1" activePane="topRight" state="frozen"/>
      <selection pane="topRight" activeCell="G22" sqref="G22"/>
    </sheetView>
  </sheetViews>
  <sheetFormatPr defaultColWidth="9.140625" defaultRowHeight="15" x14ac:dyDescent="0.25"/>
  <cols>
    <col min="1" max="1" width="59" customWidth="1"/>
    <col min="2" max="2" width="37.42578125" customWidth="1"/>
    <col min="3" max="17" width="18.85546875" style="9" customWidth="1"/>
    <col min="18" max="18" width="45.85546875" customWidth="1"/>
    <col min="19" max="19" width="11.140625" customWidth="1"/>
    <col min="20" max="20" width="11.5703125" customWidth="1"/>
    <col min="21" max="21" width="13.42578125" customWidth="1"/>
    <col min="22" max="22" width="11.42578125" bestFit="1" customWidth="1"/>
  </cols>
  <sheetData>
    <row r="1" spans="1:21" s="2" customFormat="1" ht="15.75" x14ac:dyDescent="0.25">
      <c r="A1" s="117" t="str">
        <f>'1. Expenditures'!A1</f>
        <v>SOMAH Program Administrator</v>
      </c>
      <c r="C1" s="25"/>
      <c r="D1" s="25"/>
      <c r="E1" s="25"/>
      <c r="F1" s="25"/>
      <c r="G1" s="25"/>
      <c r="H1" s="25"/>
      <c r="I1" s="25"/>
      <c r="J1" s="25"/>
      <c r="K1" s="25"/>
      <c r="L1" s="25"/>
      <c r="M1" s="25"/>
      <c r="N1" s="25"/>
      <c r="O1" s="25"/>
      <c r="P1" s="25"/>
      <c r="Q1" s="25"/>
    </row>
    <row r="2" spans="1:21" x14ac:dyDescent="0.25">
      <c r="A2" s="169" t="str">
        <f>'1. Expenditures'!A2</f>
        <v>Reporting Date: July  31, 2026</v>
      </c>
      <c r="B2" s="6"/>
      <c r="C2" s="26"/>
      <c r="D2" s="26"/>
      <c r="E2" s="26"/>
      <c r="F2" s="26"/>
      <c r="G2" s="26"/>
      <c r="H2" s="26"/>
      <c r="I2" s="26"/>
      <c r="J2" s="26"/>
      <c r="K2" s="26"/>
      <c r="L2" s="26"/>
      <c r="M2" s="26"/>
      <c r="N2" s="26"/>
      <c r="O2" s="26"/>
      <c r="P2" s="26"/>
      <c r="Q2" s="26"/>
      <c r="R2" s="6"/>
      <c r="S2" s="6"/>
      <c r="T2" s="6"/>
      <c r="U2" s="6"/>
    </row>
    <row r="3" spans="1:21" x14ac:dyDescent="0.25">
      <c r="A3" s="60" t="str">
        <f>'1. Expenditures'!A3</f>
        <v>Reporting Data Through: June 30, 2026</v>
      </c>
      <c r="B3" s="24"/>
      <c r="C3" s="26"/>
      <c r="D3" s="26"/>
      <c r="E3" s="26"/>
      <c r="F3" s="26"/>
      <c r="G3" s="26"/>
      <c r="H3" s="26"/>
      <c r="I3" s="26"/>
      <c r="J3" s="26"/>
      <c r="K3" s="26"/>
      <c r="L3" s="26"/>
      <c r="M3" s="26"/>
      <c r="N3" s="26"/>
      <c r="O3" s="26"/>
      <c r="P3" s="26"/>
      <c r="Q3" s="26"/>
      <c r="R3" s="6"/>
      <c r="S3" s="6"/>
      <c r="T3" s="6"/>
      <c r="U3" s="6"/>
    </row>
    <row r="4" spans="1:21" x14ac:dyDescent="0.25">
      <c r="A4" s="60"/>
      <c r="B4" s="24"/>
      <c r="C4" s="26"/>
      <c r="D4" s="26"/>
      <c r="E4" s="26"/>
      <c r="F4" s="26"/>
      <c r="G4" s="26"/>
      <c r="H4" s="26"/>
      <c r="I4" s="26"/>
      <c r="J4" s="26"/>
      <c r="K4" s="26"/>
      <c r="L4" s="26"/>
      <c r="M4" s="26"/>
      <c r="N4" s="26"/>
      <c r="O4" s="26"/>
      <c r="P4" s="26"/>
      <c r="Q4" s="26"/>
      <c r="R4" s="6"/>
      <c r="S4" s="6"/>
      <c r="T4" s="6"/>
      <c r="U4" s="6"/>
    </row>
    <row r="5" spans="1:21" ht="27" thickBot="1" x14ac:dyDescent="0.3">
      <c r="A5" s="111" t="s">
        <v>348</v>
      </c>
      <c r="B5" s="24"/>
      <c r="C5" s="26"/>
      <c r="D5" s="26"/>
      <c r="E5" s="26"/>
      <c r="F5" s="26"/>
      <c r="G5" s="26"/>
      <c r="H5" s="26"/>
      <c r="I5" s="26"/>
      <c r="J5" s="26"/>
      <c r="K5" s="26"/>
      <c r="L5" s="26"/>
      <c r="M5" s="26"/>
      <c r="N5" s="26"/>
      <c r="O5" s="26"/>
      <c r="P5" s="26"/>
      <c r="Q5" s="26"/>
      <c r="R5" s="6"/>
      <c r="S5" s="6"/>
      <c r="T5" s="6"/>
      <c r="U5" s="6"/>
    </row>
    <row r="6" spans="1:21" ht="16.5" thickBot="1" x14ac:dyDescent="0.3">
      <c r="A6" s="13" t="s">
        <v>89</v>
      </c>
      <c r="B6" s="17" t="s">
        <v>3</v>
      </c>
      <c r="C6" s="17">
        <v>2018</v>
      </c>
      <c r="D6" s="17" t="s">
        <v>44</v>
      </c>
      <c r="E6" s="26"/>
      <c r="F6" s="26"/>
      <c r="G6" s="26"/>
      <c r="H6" s="26"/>
      <c r="I6" s="26"/>
      <c r="J6" s="26"/>
      <c r="K6" s="26"/>
      <c r="L6" s="26"/>
      <c r="M6" s="26"/>
      <c r="N6" s="26"/>
      <c r="O6" s="26"/>
      <c r="P6" s="26"/>
      <c r="Q6" s="26"/>
      <c r="R6" s="6"/>
      <c r="S6" s="6"/>
      <c r="T6" s="6"/>
      <c r="U6" s="6"/>
    </row>
    <row r="7" spans="1:21" x14ac:dyDescent="0.25">
      <c r="A7" s="90" t="s">
        <v>90</v>
      </c>
      <c r="B7" s="88" t="s">
        <v>91</v>
      </c>
      <c r="C7" s="236">
        <v>2498.58</v>
      </c>
      <c r="D7" s="239">
        <v>0</v>
      </c>
      <c r="E7" s="26"/>
      <c r="F7" s="26"/>
      <c r="G7" s="26"/>
      <c r="H7" s="26"/>
      <c r="I7" s="26"/>
      <c r="J7" s="26"/>
      <c r="K7" s="26"/>
      <c r="L7" s="26"/>
      <c r="M7" s="26"/>
      <c r="N7" s="26"/>
      <c r="O7" s="26"/>
      <c r="P7" s="26"/>
      <c r="Q7" s="26"/>
      <c r="R7" s="6"/>
      <c r="S7" s="6"/>
      <c r="T7" s="6"/>
      <c r="U7" s="6"/>
    </row>
    <row r="8" spans="1:21" ht="25.5" x14ac:dyDescent="0.25">
      <c r="A8" s="91" t="s">
        <v>92</v>
      </c>
      <c r="B8" s="88" t="s">
        <v>93</v>
      </c>
      <c r="C8" s="240">
        <v>140530.56</v>
      </c>
      <c r="D8" s="81">
        <v>47322.39</v>
      </c>
      <c r="E8" s="26"/>
      <c r="F8" s="26"/>
      <c r="G8" s="26"/>
      <c r="H8" s="26"/>
      <c r="I8" s="26"/>
      <c r="J8" s="26"/>
      <c r="K8" s="26"/>
      <c r="L8" s="26"/>
      <c r="M8" s="26"/>
      <c r="N8" s="26"/>
      <c r="O8" s="26"/>
      <c r="P8" s="26"/>
      <c r="Q8" s="26"/>
      <c r="R8" s="6"/>
      <c r="S8" s="6"/>
      <c r="T8" s="6"/>
      <c r="U8" s="6"/>
    </row>
    <row r="9" spans="1:21" ht="25.5" x14ac:dyDescent="0.25">
      <c r="A9" s="91" t="s">
        <v>94</v>
      </c>
      <c r="B9" s="88" t="s">
        <v>95</v>
      </c>
      <c r="C9" s="240">
        <v>7789.5</v>
      </c>
      <c r="D9" s="81">
        <v>9771.86</v>
      </c>
      <c r="E9" s="26"/>
      <c r="F9" s="26"/>
      <c r="G9" s="26"/>
      <c r="H9" s="26"/>
      <c r="I9" s="26"/>
      <c r="J9" s="26"/>
      <c r="K9" s="26"/>
      <c r="L9" s="26"/>
      <c r="M9" s="26"/>
      <c r="N9" s="26"/>
      <c r="O9" s="26"/>
      <c r="P9" s="26"/>
      <c r="Q9" s="26"/>
      <c r="R9" s="6"/>
      <c r="S9" s="6"/>
      <c r="T9" s="6"/>
      <c r="U9" s="6"/>
    </row>
    <row r="10" spans="1:21" ht="25.5" x14ac:dyDescent="0.25">
      <c r="A10" s="91" t="s">
        <v>96</v>
      </c>
      <c r="B10" s="88" t="s">
        <v>97</v>
      </c>
      <c r="C10" s="236">
        <v>23352.01</v>
      </c>
      <c r="D10" s="81">
        <v>40033.195</v>
      </c>
      <c r="E10" s="26"/>
      <c r="F10" s="26"/>
      <c r="G10" s="26"/>
      <c r="H10" s="26"/>
      <c r="I10" s="26"/>
      <c r="J10" s="26"/>
      <c r="K10" s="26"/>
      <c r="L10" s="26"/>
      <c r="M10" s="26"/>
      <c r="N10" s="26"/>
      <c r="O10" s="26"/>
      <c r="P10" s="26"/>
      <c r="Q10" s="26"/>
      <c r="R10" s="6"/>
      <c r="S10" s="6"/>
      <c r="T10" s="6"/>
      <c r="U10" s="6"/>
    </row>
    <row r="11" spans="1:21" ht="38.25" x14ac:dyDescent="0.25">
      <c r="A11" s="92" t="s">
        <v>98</v>
      </c>
      <c r="B11" s="88" t="s">
        <v>99</v>
      </c>
      <c r="C11" s="240">
        <v>32664.05</v>
      </c>
      <c r="D11" s="81">
        <v>16388.93</v>
      </c>
      <c r="E11" s="26"/>
      <c r="F11" s="26"/>
      <c r="G11" s="26"/>
      <c r="H11" s="26"/>
      <c r="I11" s="26"/>
      <c r="J11" s="26"/>
      <c r="K11" s="26"/>
      <c r="L11" s="26"/>
      <c r="M11" s="26"/>
      <c r="N11" s="26"/>
      <c r="O11" s="26"/>
      <c r="P11" s="26"/>
      <c r="Q11" s="26"/>
      <c r="R11" s="6"/>
      <c r="S11" s="6"/>
      <c r="T11" s="6"/>
      <c r="U11" s="6"/>
    </row>
    <row r="12" spans="1:21" ht="30" customHeight="1" x14ac:dyDescent="0.25">
      <c r="A12" s="91" t="s">
        <v>100</v>
      </c>
      <c r="B12" s="89" t="s">
        <v>101</v>
      </c>
      <c r="C12" s="240">
        <v>89089.790000000008</v>
      </c>
      <c r="D12" s="81">
        <v>70064.7</v>
      </c>
      <c r="E12" s="26"/>
      <c r="F12" s="26"/>
      <c r="G12" s="26"/>
      <c r="H12" s="26"/>
      <c r="I12" s="26"/>
      <c r="J12" s="26"/>
      <c r="K12" s="26"/>
      <c r="L12" s="26"/>
      <c r="M12" s="26"/>
      <c r="N12" s="26"/>
      <c r="O12" s="26"/>
      <c r="P12" s="26"/>
      <c r="Q12" s="26"/>
      <c r="R12" s="6"/>
      <c r="S12" s="6"/>
      <c r="T12" s="6"/>
      <c r="U12" s="6"/>
    </row>
    <row r="13" spans="1:21" ht="25.5" x14ac:dyDescent="0.25">
      <c r="A13" s="91" t="s">
        <v>102</v>
      </c>
      <c r="B13" s="88" t="s">
        <v>103</v>
      </c>
      <c r="C13" s="236">
        <v>69125.139999999985</v>
      </c>
      <c r="D13" s="81">
        <v>60659.32</v>
      </c>
      <c r="E13" s="26"/>
      <c r="F13" s="26"/>
      <c r="G13" s="26"/>
      <c r="H13" s="26"/>
      <c r="I13" s="26"/>
      <c r="J13" s="26"/>
      <c r="K13" s="26"/>
      <c r="L13" s="26"/>
      <c r="M13" s="26"/>
      <c r="N13" s="26"/>
      <c r="O13" s="26"/>
      <c r="P13" s="26"/>
      <c r="Q13" s="26"/>
      <c r="R13" s="6"/>
      <c r="S13" s="6"/>
      <c r="T13" s="6"/>
      <c r="U13" s="6"/>
    </row>
    <row r="14" spans="1:21" ht="63.75" x14ac:dyDescent="0.25">
      <c r="A14" s="91" t="s">
        <v>104</v>
      </c>
      <c r="B14" s="88" t="s">
        <v>105</v>
      </c>
      <c r="C14" s="240">
        <v>24385.45</v>
      </c>
      <c r="D14" s="81">
        <v>13866.650000000001</v>
      </c>
      <c r="E14" s="26"/>
      <c r="F14" s="26"/>
      <c r="G14" s="26"/>
      <c r="H14" s="26"/>
      <c r="I14" s="26"/>
      <c r="J14" s="26"/>
      <c r="K14" s="26"/>
      <c r="L14" s="26"/>
      <c r="M14" s="26"/>
      <c r="N14" s="26"/>
      <c r="O14" s="26"/>
      <c r="P14" s="26"/>
      <c r="Q14" s="26"/>
      <c r="R14" s="6"/>
      <c r="S14" s="6"/>
      <c r="T14" s="6"/>
      <c r="U14" s="6"/>
    </row>
    <row r="15" spans="1:21" ht="77.25" thickBot="1" x14ac:dyDescent="0.3">
      <c r="A15" s="91" t="s">
        <v>106</v>
      </c>
      <c r="B15" s="88" t="s">
        <v>107</v>
      </c>
      <c r="C15" s="240">
        <v>22605.919999999998</v>
      </c>
      <c r="D15" s="81">
        <v>16442.37</v>
      </c>
      <c r="E15" s="26"/>
      <c r="F15" s="26"/>
      <c r="G15" s="26"/>
      <c r="H15" s="26"/>
      <c r="I15" s="26"/>
      <c r="J15" s="26"/>
      <c r="K15" s="26"/>
      <c r="L15" s="26"/>
      <c r="M15" s="26"/>
      <c r="N15" s="26"/>
      <c r="O15" s="26"/>
      <c r="P15" s="26"/>
      <c r="Q15" s="26"/>
      <c r="R15" s="6"/>
      <c r="S15" s="6"/>
      <c r="T15" s="6"/>
      <c r="U15" s="6"/>
    </row>
    <row r="16" spans="1:21" ht="16.5" thickBot="1" x14ac:dyDescent="0.3">
      <c r="A16" s="15" t="s">
        <v>61</v>
      </c>
      <c r="B16" s="15"/>
      <c r="C16" s="80">
        <f>SUM(C7:C15)</f>
        <v>412041</v>
      </c>
      <c r="D16" s="231">
        <f>SUM(D7:D15)</f>
        <v>274549.41500000004</v>
      </c>
      <c r="E16" s="26"/>
      <c r="F16" s="26"/>
      <c r="G16" s="26"/>
      <c r="H16" s="26"/>
      <c r="I16" s="26"/>
      <c r="J16" s="26"/>
      <c r="K16" s="26"/>
      <c r="L16" s="26"/>
      <c r="M16" s="26"/>
      <c r="N16" s="26"/>
      <c r="O16" s="26"/>
      <c r="P16" s="26"/>
      <c r="Q16" s="26"/>
      <c r="R16" s="6"/>
      <c r="S16" s="6"/>
      <c r="T16" s="6"/>
      <c r="U16" s="6"/>
    </row>
    <row r="17" spans="1:22" x14ac:dyDescent="0.25">
      <c r="A17" s="60"/>
      <c r="B17" s="24"/>
      <c r="C17" s="26"/>
      <c r="D17" s="26"/>
      <c r="E17" s="26"/>
      <c r="F17" s="26"/>
      <c r="G17" s="26"/>
      <c r="H17" s="26"/>
      <c r="I17" s="26"/>
      <c r="J17" s="26"/>
      <c r="K17" s="26"/>
      <c r="L17" s="26"/>
      <c r="M17" s="26"/>
      <c r="N17" s="26"/>
      <c r="O17" s="26"/>
      <c r="P17" s="26"/>
      <c r="Q17" s="26"/>
      <c r="R17" s="6"/>
      <c r="S17" s="6"/>
      <c r="T17" s="6"/>
      <c r="U17" s="6"/>
    </row>
    <row r="18" spans="1:22" ht="27" thickBot="1" x14ac:dyDescent="0.3">
      <c r="A18" s="111" t="s">
        <v>346</v>
      </c>
      <c r="B18" s="24"/>
      <c r="C18" s="26"/>
      <c r="D18" s="26"/>
      <c r="E18" s="26"/>
      <c r="F18" s="26"/>
      <c r="G18" s="26"/>
      <c r="H18" s="26"/>
      <c r="I18" s="26"/>
      <c r="J18" s="26"/>
      <c r="K18" s="26"/>
      <c r="L18" s="26"/>
      <c r="M18" s="26"/>
      <c r="N18" s="26"/>
      <c r="O18" s="26"/>
      <c r="P18" s="26"/>
      <c r="Q18" s="26"/>
      <c r="R18" s="6"/>
      <c r="S18" s="6"/>
      <c r="T18" s="6"/>
      <c r="U18" s="6"/>
    </row>
    <row r="19" spans="1:22" s="3" customFormat="1" ht="16.5" thickBot="1" x14ac:dyDescent="0.3">
      <c r="A19" s="13" t="s">
        <v>89</v>
      </c>
      <c r="B19" s="17" t="s">
        <v>3</v>
      </c>
      <c r="C19" s="17" t="s">
        <v>63</v>
      </c>
      <c r="D19" s="17">
        <v>2020</v>
      </c>
      <c r="E19" s="17">
        <v>2021</v>
      </c>
      <c r="F19" s="17">
        <v>2022</v>
      </c>
      <c r="G19" s="17">
        <v>2023</v>
      </c>
      <c r="H19" s="17">
        <v>2024</v>
      </c>
      <c r="I19" s="17">
        <v>2025</v>
      </c>
      <c r="J19" s="17">
        <v>2026</v>
      </c>
      <c r="K19" s="17">
        <v>2027</v>
      </c>
      <c r="L19" s="17">
        <v>2028</v>
      </c>
      <c r="M19" s="17">
        <v>2029</v>
      </c>
      <c r="N19" s="17">
        <v>2030</v>
      </c>
      <c r="O19" s="17">
        <v>2031</v>
      </c>
      <c r="P19" s="17">
        <v>2032</v>
      </c>
      <c r="Q19" s="18" t="s">
        <v>28</v>
      </c>
      <c r="R19" s="14" t="s">
        <v>64</v>
      </c>
    </row>
    <row r="20" spans="1:22" ht="25.5" x14ac:dyDescent="0.25">
      <c r="A20" s="87" t="s">
        <v>100</v>
      </c>
      <c r="B20" s="87" t="s">
        <v>101</v>
      </c>
      <c r="C20" s="236">
        <v>201938.61000000004</v>
      </c>
      <c r="D20" s="81">
        <v>462254.54953000031</v>
      </c>
      <c r="E20" s="81">
        <v>526897.60233062343</v>
      </c>
      <c r="F20" s="81">
        <v>599205.67817025003</v>
      </c>
      <c r="G20" s="81">
        <v>538786.11999999988</v>
      </c>
      <c r="H20" s="81">
        <v>489998.83</v>
      </c>
      <c r="I20" s="81">
        <v>466802.49</v>
      </c>
      <c r="J20" s="81">
        <v>117756.65000000001</v>
      </c>
      <c r="K20" s="54"/>
      <c r="L20" s="54"/>
      <c r="M20" s="54"/>
      <c r="N20" s="54"/>
      <c r="O20" s="186"/>
      <c r="P20" s="186"/>
      <c r="Q20" s="61">
        <f>SUM(C20:P20)</f>
        <v>3403640.5300308741</v>
      </c>
      <c r="R20" s="51"/>
    </row>
    <row r="21" spans="1:22" ht="25.5" x14ac:dyDescent="0.25">
      <c r="A21" s="88" t="s">
        <v>92</v>
      </c>
      <c r="B21" s="88" t="s">
        <v>93</v>
      </c>
      <c r="C21" s="236">
        <v>145831.37250000006</v>
      </c>
      <c r="D21" s="81">
        <v>206661.60850000003</v>
      </c>
      <c r="E21" s="81">
        <v>220177.09849999996</v>
      </c>
      <c r="F21" s="81">
        <v>287450.96224349993</v>
      </c>
      <c r="G21" s="81">
        <v>142539.27999999997</v>
      </c>
      <c r="H21" s="81">
        <v>123508.85999999999</v>
      </c>
      <c r="I21" s="81">
        <v>87962.85</v>
      </c>
      <c r="J21" s="81">
        <v>29351.11</v>
      </c>
      <c r="K21" s="56"/>
      <c r="L21" s="53"/>
      <c r="M21" s="53"/>
      <c r="N21" s="53"/>
      <c r="O21" s="187"/>
      <c r="P21" s="187"/>
      <c r="Q21" s="61">
        <f t="shared" ref="Q21:Q33" si="0">SUM(C21:P21)</f>
        <v>1243483.1417435</v>
      </c>
      <c r="R21" s="51"/>
      <c r="S21" s="27"/>
    </row>
    <row r="22" spans="1:22" ht="32.450000000000003" customHeight="1" x14ac:dyDescent="0.25">
      <c r="A22" s="88" t="s">
        <v>94</v>
      </c>
      <c r="B22" s="88" t="s">
        <v>95</v>
      </c>
      <c r="C22" s="236">
        <v>261462.47000000003</v>
      </c>
      <c r="D22" s="81">
        <v>821386.79950000008</v>
      </c>
      <c r="E22" s="81">
        <v>979591.90579999995</v>
      </c>
      <c r="F22" s="81">
        <v>1076891.6772092499</v>
      </c>
      <c r="G22" s="81">
        <v>1044987.7024999999</v>
      </c>
      <c r="H22" s="81">
        <v>702344.08499999996</v>
      </c>
      <c r="I22" s="81">
        <v>588991.27</v>
      </c>
      <c r="J22" s="81">
        <v>248261.16</v>
      </c>
      <c r="K22" s="56"/>
      <c r="L22" s="53"/>
      <c r="M22" s="53"/>
      <c r="N22" s="53"/>
      <c r="O22" s="187"/>
      <c r="P22" s="187"/>
      <c r="Q22" s="61">
        <f t="shared" si="0"/>
        <v>5723917.0700092502</v>
      </c>
      <c r="R22" s="51"/>
      <c r="S22" s="27"/>
    </row>
    <row r="23" spans="1:22" ht="25.5" x14ac:dyDescent="0.25">
      <c r="A23" s="109" t="s">
        <v>108</v>
      </c>
      <c r="B23" s="88" t="s">
        <v>109</v>
      </c>
      <c r="C23" s="236">
        <v>71403.39</v>
      </c>
      <c r="D23" s="81">
        <v>52473.377999999997</v>
      </c>
      <c r="E23" s="81">
        <v>120942.0564</v>
      </c>
      <c r="F23" s="81">
        <v>177735.604422</v>
      </c>
      <c r="G23" s="81">
        <v>176868.44249999995</v>
      </c>
      <c r="H23" s="81">
        <v>89797.440000000002</v>
      </c>
      <c r="I23" s="81">
        <v>47663.31</v>
      </c>
      <c r="J23" s="81">
        <v>13155.09</v>
      </c>
      <c r="K23" s="56"/>
      <c r="L23" s="53"/>
      <c r="M23" s="53"/>
      <c r="N23" s="53"/>
      <c r="O23" s="187"/>
      <c r="P23" s="187"/>
      <c r="Q23" s="61">
        <f t="shared" si="0"/>
        <v>750038.7113219999</v>
      </c>
      <c r="R23" s="52"/>
      <c r="S23" s="27"/>
    </row>
    <row r="24" spans="1:22" ht="38.25" x14ac:dyDescent="0.25">
      <c r="A24" s="88" t="s">
        <v>98</v>
      </c>
      <c r="B24" s="88" t="s">
        <v>110</v>
      </c>
      <c r="C24" s="236">
        <v>88776.827500000029</v>
      </c>
      <c r="D24" s="81">
        <v>54181.404999999999</v>
      </c>
      <c r="E24" s="81">
        <v>119636.7188</v>
      </c>
      <c r="F24" s="81">
        <v>90442.267444500001</v>
      </c>
      <c r="G24" s="81">
        <v>29081.584999999999</v>
      </c>
      <c r="H24" s="81">
        <v>32145.010000000002</v>
      </c>
      <c r="I24" s="81">
        <v>27767.25</v>
      </c>
      <c r="J24" s="81">
        <v>2536.67</v>
      </c>
      <c r="K24" s="56"/>
      <c r="L24" s="56"/>
      <c r="M24" s="56"/>
      <c r="N24" s="56"/>
      <c r="O24" s="187"/>
      <c r="P24" s="187"/>
      <c r="Q24" s="61">
        <f t="shared" si="0"/>
        <v>444567.73374450009</v>
      </c>
      <c r="R24" s="51"/>
      <c r="S24" s="27"/>
    </row>
    <row r="25" spans="1:22" ht="25.5" x14ac:dyDescent="0.25">
      <c r="A25" s="88" t="s">
        <v>111</v>
      </c>
      <c r="B25" s="88" t="s">
        <v>103</v>
      </c>
      <c r="C25" s="236">
        <v>100413.34499999999</v>
      </c>
      <c r="D25" s="81">
        <v>43176.608099999998</v>
      </c>
      <c r="E25" s="81">
        <v>71261.434999999998</v>
      </c>
      <c r="F25" s="81">
        <v>139694.60999999999</v>
      </c>
      <c r="G25" s="81">
        <v>118854.45</v>
      </c>
      <c r="H25" s="81">
        <v>150236.58000000002</v>
      </c>
      <c r="I25" s="81">
        <v>149887.19</v>
      </c>
      <c r="J25" s="81">
        <v>41130.80000000001</v>
      </c>
      <c r="K25" s="56"/>
      <c r="L25" s="56"/>
      <c r="M25" s="56"/>
      <c r="N25" s="56"/>
      <c r="O25" s="187"/>
      <c r="P25" s="187"/>
      <c r="Q25" s="61">
        <f t="shared" si="0"/>
        <v>814655.01809999999</v>
      </c>
      <c r="R25" s="51"/>
      <c r="S25" s="27"/>
    </row>
    <row r="26" spans="1:22" ht="63.75" x14ac:dyDescent="0.25">
      <c r="A26" s="89" t="s">
        <v>112</v>
      </c>
      <c r="B26" s="89" t="s">
        <v>105</v>
      </c>
      <c r="C26" s="236">
        <v>130524.99750000001</v>
      </c>
      <c r="D26" s="81">
        <v>202616.7953687</v>
      </c>
      <c r="E26" s="81">
        <v>247929.1801</v>
      </c>
      <c r="F26" s="81">
        <v>214156.40617640002</v>
      </c>
      <c r="G26" s="81">
        <v>215383.69</v>
      </c>
      <c r="H26" s="81">
        <v>331618.53000000003</v>
      </c>
      <c r="I26" s="81">
        <v>245852.85999999996</v>
      </c>
      <c r="J26" s="81">
        <v>271642.73000000004</v>
      </c>
      <c r="K26" s="56"/>
      <c r="L26" s="56"/>
      <c r="M26" s="56"/>
      <c r="N26" s="56"/>
      <c r="O26" s="187"/>
      <c r="P26" s="187"/>
      <c r="Q26" s="61">
        <f t="shared" si="0"/>
        <v>1859725.1891450998</v>
      </c>
      <c r="R26" s="51"/>
      <c r="S26" s="27"/>
    </row>
    <row r="27" spans="1:22" ht="76.5" x14ac:dyDescent="0.25">
      <c r="A27" s="88" t="s">
        <v>113</v>
      </c>
      <c r="B27" s="89" t="s">
        <v>107</v>
      </c>
      <c r="C27" s="236">
        <v>40498.69</v>
      </c>
      <c r="D27" s="81">
        <v>48429.272499999999</v>
      </c>
      <c r="E27" s="81">
        <v>87302.42200000002</v>
      </c>
      <c r="F27" s="81">
        <v>92121.69</v>
      </c>
      <c r="G27" s="81">
        <v>86398.989999999962</v>
      </c>
      <c r="H27" s="81">
        <v>54096.407500000016</v>
      </c>
      <c r="I27" s="81">
        <v>35462.410000000003</v>
      </c>
      <c r="J27" s="81">
        <v>41913.095000000008</v>
      </c>
      <c r="K27" s="56"/>
      <c r="L27" s="56"/>
      <c r="M27" s="56"/>
      <c r="N27" s="56"/>
      <c r="O27" s="187"/>
      <c r="P27" s="187"/>
      <c r="Q27" s="61">
        <f t="shared" si="0"/>
        <v>486222.97700000001</v>
      </c>
      <c r="R27" s="51"/>
      <c r="S27" s="27"/>
    </row>
    <row r="28" spans="1:22" ht="25.5" x14ac:dyDescent="0.25">
      <c r="A28" s="88" t="s">
        <v>114</v>
      </c>
      <c r="B28" s="88" t="s">
        <v>115</v>
      </c>
      <c r="C28" s="236">
        <v>69634.602499999994</v>
      </c>
      <c r="D28" s="81">
        <v>29070.400000000001</v>
      </c>
      <c r="E28" s="81">
        <v>42006.857500000006</v>
      </c>
      <c r="F28" s="81">
        <v>37252.199999999997</v>
      </c>
      <c r="G28" s="81">
        <v>37051.49</v>
      </c>
      <c r="H28" s="81">
        <v>35486.854999999996</v>
      </c>
      <c r="I28" s="81">
        <v>35194.679999999993</v>
      </c>
      <c r="J28" s="81">
        <v>12316.24</v>
      </c>
      <c r="K28" s="56"/>
      <c r="L28" s="56"/>
      <c r="M28" s="56"/>
      <c r="N28" s="56"/>
      <c r="O28" s="187"/>
      <c r="P28" s="187"/>
      <c r="Q28" s="61">
        <f t="shared" si="0"/>
        <v>298013.32499999995</v>
      </c>
      <c r="R28" s="51"/>
      <c r="S28" s="27"/>
    </row>
    <row r="29" spans="1:22" ht="89.25" x14ac:dyDescent="0.25">
      <c r="A29" s="93" t="s">
        <v>116</v>
      </c>
      <c r="B29" s="93" t="s">
        <v>117</v>
      </c>
      <c r="C29" s="236">
        <v>72977.514999999999</v>
      </c>
      <c r="D29" s="81">
        <v>58721.13</v>
      </c>
      <c r="E29" s="81">
        <v>117858.55999999997</v>
      </c>
      <c r="F29" s="81">
        <v>198549.40224349999</v>
      </c>
      <c r="G29" s="81">
        <v>194272.17499999999</v>
      </c>
      <c r="H29" s="81">
        <v>175364.84000000003</v>
      </c>
      <c r="I29" s="81">
        <v>67840.97</v>
      </c>
      <c r="J29" s="81">
        <v>52084.297500000008</v>
      </c>
      <c r="K29" s="56"/>
      <c r="L29" s="56"/>
      <c r="M29" s="56"/>
      <c r="N29" s="56"/>
      <c r="O29" s="187"/>
      <c r="P29" s="187"/>
      <c r="Q29" s="61">
        <f t="shared" si="0"/>
        <v>937668.88974350004</v>
      </c>
      <c r="R29" s="51"/>
      <c r="S29" s="27"/>
    </row>
    <row r="30" spans="1:22" ht="63.75" x14ac:dyDescent="0.25">
      <c r="A30" s="88" t="s">
        <v>118</v>
      </c>
      <c r="B30" s="88" t="s">
        <v>119</v>
      </c>
      <c r="C30" s="236">
        <v>108333.78000000003</v>
      </c>
      <c r="D30" s="81">
        <v>80817.689999999973</v>
      </c>
      <c r="E30" s="81">
        <v>136269.93499999994</v>
      </c>
      <c r="F30" s="81">
        <v>92019.840000000026</v>
      </c>
      <c r="G30" s="81">
        <v>65319.180000000008</v>
      </c>
      <c r="H30" s="81">
        <v>84000.977499999979</v>
      </c>
      <c r="I30" s="81">
        <v>78063.140000000014</v>
      </c>
      <c r="J30" s="81">
        <v>37680.03</v>
      </c>
      <c r="K30" s="56"/>
      <c r="L30" s="56"/>
      <c r="M30" s="56"/>
      <c r="N30" s="56"/>
      <c r="O30" s="187"/>
      <c r="P30" s="187"/>
      <c r="Q30" s="61">
        <f t="shared" si="0"/>
        <v>682504.57249999989</v>
      </c>
      <c r="R30" s="51"/>
      <c r="S30" s="27"/>
    </row>
    <row r="31" spans="1:22" ht="38.25" x14ac:dyDescent="0.25">
      <c r="A31" s="82" t="s">
        <v>120</v>
      </c>
      <c r="B31" s="89" t="s">
        <v>121</v>
      </c>
      <c r="C31" s="236">
        <v>16324.505000000001</v>
      </c>
      <c r="D31" s="81">
        <v>8628.0949999999993</v>
      </c>
      <c r="E31" s="81">
        <v>76836.374500000005</v>
      </c>
      <c r="F31" s="81">
        <v>154386.07</v>
      </c>
      <c r="G31" s="81">
        <v>167689.26049999997</v>
      </c>
      <c r="H31" s="81">
        <v>120821.02999999997</v>
      </c>
      <c r="I31" s="81">
        <v>62070.31</v>
      </c>
      <c r="J31" s="81">
        <v>44075.490000000005</v>
      </c>
      <c r="K31" s="56"/>
      <c r="L31" s="56"/>
      <c r="M31" s="56"/>
      <c r="N31" s="56"/>
      <c r="O31" s="56"/>
      <c r="P31" s="56"/>
      <c r="Q31" s="61">
        <f t="shared" si="0"/>
        <v>650831.13500000001</v>
      </c>
      <c r="R31" s="51"/>
      <c r="S31" s="8"/>
      <c r="T31" s="10"/>
      <c r="U31" s="10"/>
      <c r="V31" s="10"/>
    </row>
    <row r="32" spans="1:22" ht="25.5" x14ac:dyDescent="0.25">
      <c r="A32" s="87" t="s">
        <v>122</v>
      </c>
      <c r="B32" s="87" t="s">
        <v>123</v>
      </c>
      <c r="C32" s="236">
        <v>102992.44000000003</v>
      </c>
      <c r="D32" s="81">
        <v>89780.298500000004</v>
      </c>
      <c r="E32" s="81">
        <v>70490.043250000002</v>
      </c>
      <c r="F32" s="81">
        <v>75158.904486999993</v>
      </c>
      <c r="G32" s="81">
        <v>77923.81</v>
      </c>
      <c r="H32" s="81">
        <v>81470.330000000016</v>
      </c>
      <c r="I32" s="81">
        <v>104889.45000000001</v>
      </c>
      <c r="J32" s="81">
        <v>15390.970000000001</v>
      </c>
      <c r="K32" s="56"/>
      <c r="L32" s="56"/>
      <c r="M32" s="56"/>
      <c r="N32" s="56"/>
      <c r="O32" s="56"/>
      <c r="P32" s="56"/>
      <c r="Q32" s="61">
        <f t="shared" si="0"/>
        <v>618096.24623699998</v>
      </c>
      <c r="R32" s="51"/>
      <c r="S32" s="8"/>
      <c r="T32" s="10"/>
      <c r="U32" s="10"/>
      <c r="V32" s="10"/>
    </row>
    <row r="33" spans="1:22" ht="44.25" customHeight="1" thickBot="1" x14ac:dyDescent="0.3">
      <c r="A33" s="195" t="s">
        <v>350</v>
      </c>
      <c r="B33" s="195" t="s">
        <v>351</v>
      </c>
      <c r="C33" s="241">
        <v>0</v>
      </c>
      <c r="D33" s="196">
        <v>0</v>
      </c>
      <c r="E33" s="196">
        <v>0</v>
      </c>
      <c r="F33" s="196">
        <v>0</v>
      </c>
      <c r="G33" s="196">
        <v>0</v>
      </c>
      <c r="H33" s="196">
        <v>0</v>
      </c>
      <c r="I33" s="81">
        <v>41201.4</v>
      </c>
      <c r="J33" s="81">
        <v>8973.91</v>
      </c>
      <c r="K33" s="59"/>
      <c r="L33" s="59"/>
      <c r="M33" s="59"/>
      <c r="N33" s="59"/>
      <c r="O33" s="59"/>
      <c r="P33" s="59"/>
      <c r="Q33" s="199">
        <f t="shared" si="0"/>
        <v>50175.31</v>
      </c>
      <c r="R33" s="198"/>
      <c r="S33" s="8"/>
      <c r="T33" s="10"/>
      <c r="U33" s="10"/>
      <c r="V33" s="10"/>
    </row>
    <row r="34" spans="1:22" s="3" customFormat="1" ht="16.5" thickBot="1" x14ac:dyDescent="0.3">
      <c r="A34" s="15" t="s">
        <v>124</v>
      </c>
      <c r="B34" s="15"/>
      <c r="C34" s="80">
        <f>SUM(C20:C33)</f>
        <v>1411112.5449999999</v>
      </c>
      <c r="D34" s="80">
        <f t="shared" ref="D34:P34" si="1">SUM(D20:D33)</f>
        <v>2158198.0299987001</v>
      </c>
      <c r="E34" s="80">
        <f t="shared" si="1"/>
        <v>2817200.1891806237</v>
      </c>
      <c r="F34" s="80">
        <f t="shared" si="1"/>
        <v>3235065.3123963992</v>
      </c>
      <c r="G34" s="80">
        <f t="shared" si="1"/>
        <v>2895156.1754999994</v>
      </c>
      <c r="H34" s="80">
        <f t="shared" si="1"/>
        <v>2470889.7749999999</v>
      </c>
      <c r="I34" s="80">
        <f t="shared" si="1"/>
        <v>2039649.5799999994</v>
      </c>
      <c r="J34" s="80">
        <f t="shared" si="1"/>
        <v>936268.24250000005</v>
      </c>
      <c r="K34" s="80">
        <f t="shared" si="1"/>
        <v>0</v>
      </c>
      <c r="L34" s="80">
        <f t="shared" si="1"/>
        <v>0</v>
      </c>
      <c r="M34" s="80">
        <f t="shared" si="1"/>
        <v>0</v>
      </c>
      <c r="N34" s="80">
        <f t="shared" si="1"/>
        <v>0</v>
      </c>
      <c r="O34" s="80">
        <f t="shared" si="1"/>
        <v>0</v>
      </c>
      <c r="P34" s="80">
        <f t="shared" si="1"/>
        <v>0</v>
      </c>
      <c r="Q34" s="45">
        <f>SUM(C34:P34)+(C16+D16)</f>
        <v>18650130.26457572</v>
      </c>
      <c r="R34" s="122" t="s">
        <v>87</v>
      </c>
    </row>
    <row r="35" spans="1:22" x14ac:dyDescent="0.25">
      <c r="C35" s="12"/>
      <c r="D35" s="12"/>
      <c r="E35" s="12"/>
      <c r="F35" s="12"/>
      <c r="G35" s="12"/>
      <c r="H35" s="12"/>
      <c r="J35" s="12"/>
      <c r="K35" s="12"/>
      <c r="L35" s="12"/>
      <c r="M35" s="12"/>
      <c r="N35" s="12"/>
      <c r="O35" s="12"/>
      <c r="P35" s="12"/>
      <c r="Q35" s="12"/>
    </row>
    <row r="36" spans="1:22" ht="45" x14ac:dyDescent="0.25">
      <c r="A36" s="102" t="s">
        <v>125</v>
      </c>
    </row>
    <row r="38" spans="1:22" ht="104.25" customHeight="1" x14ac:dyDescent="0.25">
      <c r="A38" s="110" t="s">
        <v>126</v>
      </c>
    </row>
    <row r="39" spans="1:22" ht="54" customHeight="1" x14ac:dyDescent="0.25">
      <c r="A39" s="197" t="s">
        <v>373</v>
      </c>
    </row>
    <row r="42" spans="1:22" x14ac:dyDescent="0.25">
      <c r="C42"/>
      <c r="D42"/>
      <c r="E42"/>
      <c r="F42"/>
      <c r="G42"/>
      <c r="H42"/>
      <c r="I42"/>
      <c r="J42"/>
      <c r="K42"/>
      <c r="L42"/>
      <c r="M42"/>
      <c r="N42"/>
      <c r="O42"/>
      <c r="P42"/>
      <c r="Q42"/>
    </row>
    <row r="43" spans="1:22" x14ac:dyDescent="0.25">
      <c r="C43"/>
      <c r="D43"/>
      <c r="E43"/>
      <c r="F43"/>
      <c r="G43"/>
      <c r="H43"/>
      <c r="I43"/>
      <c r="J43"/>
      <c r="K43"/>
      <c r="L43"/>
      <c r="M43"/>
      <c r="N43"/>
      <c r="O43"/>
      <c r="P43"/>
      <c r="Q43"/>
    </row>
    <row r="44" spans="1:22" x14ac:dyDescent="0.25">
      <c r="C44"/>
      <c r="D44"/>
      <c r="E44"/>
      <c r="F44"/>
      <c r="G44"/>
      <c r="H44"/>
      <c r="I44"/>
      <c r="J44"/>
      <c r="K44"/>
      <c r="L44"/>
      <c r="M44"/>
      <c r="N44"/>
      <c r="O44"/>
      <c r="P44"/>
      <c r="Q44"/>
    </row>
    <row r="45" spans="1:22" x14ac:dyDescent="0.25">
      <c r="C45"/>
      <c r="D45"/>
      <c r="E45"/>
      <c r="F45"/>
      <c r="G45"/>
      <c r="H45"/>
      <c r="I45"/>
      <c r="J45"/>
      <c r="K45"/>
      <c r="L45"/>
      <c r="M45"/>
      <c r="N45"/>
      <c r="O45"/>
      <c r="P45"/>
      <c r="Q45"/>
    </row>
    <row r="46" spans="1:22" x14ac:dyDescent="0.25">
      <c r="C46"/>
      <c r="D46"/>
      <c r="E46"/>
      <c r="F46"/>
      <c r="G46"/>
      <c r="H46"/>
      <c r="I46"/>
      <c r="J46"/>
      <c r="K46"/>
      <c r="L46"/>
      <c r="M46"/>
      <c r="N46"/>
      <c r="O46"/>
      <c r="P46"/>
      <c r="Q46"/>
    </row>
    <row r="47" spans="1:22" x14ac:dyDescent="0.25">
      <c r="C47"/>
      <c r="D47"/>
      <c r="E47"/>
      <c r="F47"/>
      <c r="G47"/>
      <c r="H47"/>
      <c r="I47"/>
      <c r="J47"/>
      <c r="K47"/>
      <c r="L47"/>
      <c r="M47"/>
      <c r="N47"/>
      <c r="O47"/>
      <c r="P47"/>
      <c r="Q47"/>
    </row>
    <row r="48" spans="1:22" x14ac:dyDescent="0.25">
      <c r="C48"/>
      <c r="D48"/>
      <c r="E48"/>
      <c r="F48"/>
      <c r="G48"/>
      <c r="H48"/>
      <c r="I48"/>
      <c r="J48"/>
      <c r="K48"/>
      <c r="L48"/>
      <c r="M48"/>
      <c r="N48"/>
      <c r="O48"/>
      <c r="P48"/>
      <c r="Q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sheetData>
  <sheetProtection algorithmName="SHA-512" hashValue="rEKoKp7ZiG9C4FG8mv/AL4inNstL1RJu0+BEYvoH15rv8gEJPGegUgDtYG8ls0QDH3/RIUjsWROTtetfeiT1ZA==" saltValue="lgxYfFse/DnLktA+eh8ijg==" spinCount="100000" sheet="1" objects="1" scenarios="1"/>
  <customSheetViews>
    <customSheetView guid="{9D8689BD-5DE1-44EE-AD85-AABB805F8C74}" topLeftCell="A31">
      <selection activeCell="N49" sqref="N49"/>
      <pageMargins left="0" right="0" top="0" bottom="0" header="0" footer="0"/>
      <pageSetup orientation="portrait" r:id="rId1"/>
    </customSheetView>
    <customSheetView guid="{524D39D6-D9FA-43B9-A02A-7383F59753BD}">
      <selection activeCell="K60" sqref="K60"/>
      <pageMargins left="0" right="0" top="0" bottom="0" header="0" footer="0"/>
      <pageSetup orientation="portrait" r:id="rId2"/>
    </customSheetView>
  </customSheetView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62"/>
  <sheetViews>
    <sheetView zoomScaleNormal="100" workbookViewId="0">
      <pane xSplit="1" topLeftCell="D1" activePane="topRight" state="frozen"/>
      <selection pane="topRight" activeCell="J28" sqref="J28"/>
    </sheetView>
  </sheetViews>
  <sheetFormatPr defaultColWidth="9.140625" defaultRowHeight="12.75" x14ac:dyDescent="0.2"/>
  <cols>
    <col min="1" max="1" width="59.85546875" style="39" customWidth="1"/>
    <col min="2" max="2" width="33.42578125" style="39" bestFit="1" customWidth="1"/>
    <col min="3" max="17" width="22.5703125" style="41" customWidth="1"/>
    <col min="18" max="18" width="45.85546875" style="39" customWidth="1"/>
    <col min="19" max="19" width="11.140625" style="39" customWidth="1"/>
    <col min="20" max="20" width="11.5703125" style="39" customWidth="1"/>
    <col min="21" max="21" width="13.42578125" style="39" customWidth="1"/>
    <col min="22" max="22" width="11.42578125" style="39" bestFit="1" customWidth="1"/>
    <col min="23" max="16384" width="9.140625" style="39"/>
  </cols>
  <sheetData>
    <row r="1" spans="1:21" s="6" customFormat="1" ht="15.75" x14ac:dyDescent="0.25">
      <c r="A1" s="117" t="str">
        <f>'1. Expenditures'!A1</f>
        <v>SOMAH Program Administrator</v>
      </c>
      <c r="C1" s="26"/>
      <c r="D1" s="26"/>
      <c r="E1" s="26"/>
      <c r="F1" s="26"/>
      <c r="G1" s="26"/>
      <c r="H1" s="26"/>
      <c r="I1" s="26"/>
      <c r="J1" s="26"/>
      <c r="K1" s="26"/>
      <c r="L1" s="26"/>
      <c r="M1" s="26"/>
      <c r="N1" s="26"/>
      <c r="O1" s="26"/>
      <c r="P1" s="26"/>
      <c r="Q1" s="26"/>
    </row>
    <row r="2" spans="1:21" x14ac:dyDescent="0.2">
      <c r="A2" s="169" t="str">
        <f>'1. Expenditures'!A2</f>
        <v>Reporting Date: July  31, 2026</v>
      </c>
      <c r="B2" s="6"/>
      <c r="C2" s="26"/>
      <c r="D2" s="26"/>
      <c r="E2" s="26"/>
      <c r="F2" s="26"/>
      <c r="G2" s="26"/>
      <c r="H2" s="26"/>
      <c r="I2" s="26"/>
      <c r="J2" s="26"/>
      <c r="K2" s="26"/>
      <c r="L2" s="26"/>
      <c r="M2" s="26"/>
      <c r="N2" s="26"/>
      <c r="O2" s="26"/>
      <c r="P2" s="26"/>
      <c r="Q2" s="26"/>
      <c r="R2" s="6"/>
      <c r="S2" s="6"/>
      <c r="T2" s="6"/>
      <c r="U2" s="6"/>
    </row>
    <row r="3" spans="1:21" x14ac:dyDescent="0.2">
      <c r="A3" s="60" t="str">
        <f>'1. Expenditures'!A3</f>
        <v>Reporting Data Through: June 30, 2026</v>
      </c>
      <c r="B3" s="24"/>
      <c r="C3" s="26"/>
      <c r="D3" s="26"/>
      <c r="E3" s="26"/>
      <c r="F3" s="26"/>
      <c r="G3" s="26"/>
      <c r="H3" s="26"/>
      <c r="I3" s="26"/>
      <c r="J3" s="26"/>
      <c r="K3" s="26"/>
      <c r="L3" s="26"/>
      <c r="M3" s="26"/>
      <c r="N3" s="26"/>
      <c r="O3" s="26"/>
      <c r="P3" s="26"/>
      <c r="Q3" s="26"/>
      <c r="R3" s="6"/>
      <c r="S3" s="6"/>
      <c r="T3" s="6"/>
      <c r="U3" s="6"/>
    </row>
    <row r="4" spans="1:21" x14ac:dyDescent="0.2">
      <c r="A4" s="60"/>
      <c r="B4" s="24"/>
      <c r="C4" s="26"/>
      <c r="D4" s="26"/>
      <c r="E4" s="26"/>
      <c r="F4" s="26"/>
      <c r="G4" s="26"/>
      <c r="H4" s="26"/>
      <c r="I4" s="26"/>
      <c r="J4" s="26"/>
      <c r="K4" s="26"/>
      <c r="L4" s="26"/>
      <c r="M4" s="26"/>
      <c r="N4" s="26"/>
      <c r="O4" s="26"/>
      <c r="P4" s="26"/>
      <c r="Q4" s="26"/>
      <c r="R4" s="6"/>
      <c r="S4" s="6"/>
      <c r="T4" s="6"/>
      <c r="U4" s="6"/>
    </row>
    <row r="5" spans="1:21" ht="26.25" thickBot="1" x14ac:dyDescent="0.25">
      <c r="A5" s="111" t="s">
        <v>349</v>
      </c>
      <c r="B5" s="24"/>
      <c r="C5" s="26"/>
      <c r="D5" s="26"/>
      <c r="E5" s="26"/>
      <c r="F5" s="26"/>
      <c r="G5" s="26"/>
      <c r="H5" s="26"/>
      <c r="I5" s="26"/>
      <c r="J5" s="26"/>
      <c r="K5" s="26"/>
      <c r="L5" s="26"/>
      <c r="M5" s="26"/>
      <c r="N5" s="26"/>
      <c r="O5" s="26"/>
      <c r="P5" s="26"/>
      <c r="Q5" s="26"/>
      <c r="R5" s="6"/>
      <c r="S5" s="6"/>
      <c r="T5" s="6"/>
      <c r="U5" s="6"/>
    </row>
    <row r="6" spans="1:21" s="3" customFormat="1" ht="16.5" thickBot="1" x14ac:dyDescent="0.3">
      <c r="A6" s="13" t="s">
        <v>127</v>
      </c>
      <c r="B6" s="17" t="s">
        <v>3</v>
      </c>
      <c r="C6" s="17">
        <v>2018</v>
      </c>
      <c r="D6" s="17" t="s">
        <v>44</v>
      </c>
      <c r="E6" s="25"/>
      <c r="F6" s="25"/>
      <c r="G6" s="25"/>
      <c r="H6" s="25"/>
      <c r="I6" s="25"/>
      <c r="J6" s="25"/>
      <c r="K6" s="25"/>
      <c r="L6" s="25"/>
      <c r="M6" s="25"/>
      <c r="N6" s="25"/>
      <c r="O6" s="25"/>
      <c r="P6" s="25"/>
      <c r="Q6" s="25"/>
      <c r="R6" s="2"/>
      <c r="S6" s="2"/>
      <c r="T6" s="2"/>
      <c r="U6" s="2"/>
    </row>
    <row r="7" spans="1:21" ht="54" customHeight="1" x14ac:dyDescent="0.2">
      <c r="A7" s="91" t="s">
        <v>128</v>
      </c>
      <c r="B7" s="96" t="s">
        <v>129</v>
      </c>
      <c r="C7" s="229">
        <f>'[1]2018'!$AQ$40</f>
        <v>590.73</v>
      </c>
      <c r="D7" s="236">
        <v>2369.5200000000004</v>
      </c>
      <c r="E7" s="26"/>
      <c r="F7" s="26"/>
      <c r="G7" s="26"/>
      <c r="H7" s="26"/>
      <c r="I7" s="26"/>
      <c r="J7" s="26"/>
      <c r="K7" s="26"/>
      <c r="L7" s="26"/>
      <c r="M7" s="26"/>
      <c r="N7" s="26"/>
      <c r="O7" s="26"/>
      <c r="P7" s="26"/>
      <c r="Q7" s="26"/>
      <c r="R7" s="6"/>
      <c r="S7" s="6"/>
      <c r="T7" s="6"/>
      <c r="U7" s="6"/>
    </row>
    <row r="8" spans="1:21" ht="78.75" customHeight="1" x14ac:dyDescent="0.2">
      <c r="A8" s="91" t="s">
        <v>130</v>
      </c>
      <c r="B8" s="94" t="s">
        <v>131</v>
      </c>
      <c r="C8" s="229">
        <f>'[1]2018'!$AQ$38</f>
        <v>12742.77</v>
      </c>
      <c r="D8" s="236">
        <v>20977.85</v>
      </c>
      <c r="E8" s="26"/>
      <c r="F8" s="26"/>
      <c r="G8" s="26"/>
      <c r="H8" s="26"/>
      <c r="I8" s="26"/>
      <c r="J8" s="26"/>
      <c r="K8" s="26"/>
      <c r="L8" s="26"/>
      <c r="M8" s="26"/>
      <c r="N8" s="26"/>
      <c r="O8" s="26"/>
      <c r="P8" s="26"/>
      <c r="Q8" s="26"/>
      <c r="R8" s="6"/>
      <c r="S8" s="6"/>
      <c r="T8" s="6"/>
      <c r="U8" s="6"/>
    </row>
    <row r="9" spans="1:21" ht="44.25" customHeight="1" x14ac:dyDescent="0.2">
      <c r="A9" s="91" t="s">
        <v>132</v>
      </c>
      <c r="B9" s="94" t="s">
        <v>133</v>
      </c>
      <c r="C9" s="230">
        <v>0</v>
      </c>
      <c r="D9" s="240">
        <v>0</v>
      </c>
      <c r="E9" s="26"/>
      <c r="F9" s="26"/>
      <c r="G9" s="26"/>
      <c r="H9" s="26"/>
      <c r="I9" s="26"/>
      <c r="J9" s="26"/>
      <c r="K9" s="26"/>
      <c r="L9" s="26"/>
      <c r="M9" s="26"/>
      <c r="N9" s="26"/>
      <c r="O9" s="26"/>
      <c r="P9" s="26"/>
      <c r="Q9" s="26"/>
      <c r="R9" s="6"/>
      <c r="S9" s="6"/>
      <c r="T9" s="6"/>
      <c r="U9" s="6"/>
    </row>
    <row r="10" spans="1:21" ht="25.5" x14ac:dyDescent="0.2">
      <c r="A10" s="91" t="s">
        <v>134</v>
      </c>
      <c r="B10" s="96" t="s">
        <v>135</v>
      </c>
      <c r="C10" s="232">
        <f>'[1]2018'!$AQ$41</f>
        <v>0</v>
      </c>
      <c r="D10" s="240">
        <v>2464.04</v>
      </c>
      <c r="E10" s="26"/>
      <c r="F10" s="26"/>
      <c r="G10" s="26"/>
      <c r="H10" s="26"/>
      <c r="I10" s="26"/>
      <c r="J10" s="26"/>
      <c r="K10" s="26"/>
      <c r="L10" s="26"/>
      <c r="M10" s="26"/>
      <c r="N10" s="26"/>
      <c r="O10" s="26"/>
      <c r="P10" s="26"/>
      <c r="Q10" s="26"/>
      <c r="R10" s="6"/>
      <c r="S10" s="6"/>
      <c r="T10" s="6"/>
      <c r="U10" s="6"/>
    </row>
    <row r="11" spans="1:21" ht="25.5" x14ac:dyDescent="0.2">
      <c r="A11" s="91" t="s">
        <v>136</v>
      </c>
      <c r="B11" s="94" t="s">
        <v>137</v>
      </c>
      <c r="C11" s="230">
        <f>'[1]2018'!$AQ$42</f>
        <v>0</v>
      </c>
      <c r="D11" s="240">
        <v>0</v>
      </c>
      <c r="E11" s="26"/>
      <c r="F11" s="26"/>
      <c r="G11" s="26"/>
      <c r="H11" s="26"/>
      <c r="I11" s="26"/>
      <c r="J11" s="26"/>
      <c r="K11" s="26"/>
      <c r="L11" s="26"/>
      <c r="M11" s="26"/>
      <c r="N11" s="26"/>
      <c r="O11" s="26"/>
      <c r="P11" s="26"/>
      <c r="Q11" s="26"/>
      <c r="R11" s="6"/>
      <c r="S11" s="6"/>
      <c r="T11" s="6"/>
      <c r="U11" s="6"/>
    </row>
    <row r="12" spans="1:21" ht="25.5" x14ac:dyDescent="0.2">
      <c r="A12" s="91" t="s">
        <v>138</v>
      </c>
      <c r="B12" s="94" t="s">
        <v>139</v>
      </c>
      <c r="C12" s="232">
        <f>'[1]2018'!$AQ$43</f>
        <v>0</v>
      </c>
      <c r="D12" s="79">
        <v>0</v>
      </c>
      <c r="E12" s="26"/>
      <c r="F12" s="26"/>
      <c r="G12" s="26"/>
      <c r="H12" s="26"/>
      <c r="I12" s="26"/>
      <c r="J12" s="26"/>
      <c r="K12" s="26"/>
      <c r="L12" s="26"/>
      <c r="M12" s="26"/>
      <c r="N12" s="26"/>
      <c r="O12" s="26"/>
      <c r="P12" s="26"/>
      <c r="Q12" s="26"/>
      <c r="R12" s="6"/>
      <c r="S12" s="6"/>
      <c r="T12" s="6"/>
      <c r="U12" s="6"/>
    </row>
    <row r="13" spans="1:21" ht="26.25" thickBot="1" x14ac:dyDescent="0.25">
      <c r="A13" s="91" t="s">
        <v>140</v>
      </c>
      <c r="B13" s="96" t="s">
        <v>141</v>
      </c>
      <c r="C13" s="232">
        <f>'[1]2018'!$AQ$39</f>
        <v>8715.9699999999993</v>
      </c>
      <c r="D13" s="79">
        <v>22061.165000000001</v>
      </c>
      <c r="E13" s="26"/>
      <c r="F13" s="26"/>
      <c r="G13" s="26"/>
      <c r="H13" s="26"/>
      <c r="I13" s="26"/>
      <c r="J13" s="26"/>
      <c r="K13" s="26"/>
      <c r="L13" s="26"/>
      <c r="M13" s="26"/>
      <c r="N13" s="26"/>
      <c r="O13" s="26"/>
      <c r="P13" s="26"/>
      <c r="Q13" s="26"/>
      <c r="R13" s="6"/>
      <c r="S13" s="6"/>
      <c r="T13" s="6"/>
      <c r="U13" s="6"/>
    </row>
    <row r="14" spans="1:21" s="3" customFormat="1" ht="16.5" thickBot="1" x14ac:dyDescent="0.3">
      <c r="A14" s="15" t="s">
        <v>61</v>
      </c>
      <c r="B14" s="15"/>
      <c r="C14" s="80">
        <f t="shared" ref="C14" si="0">SUM(C7:C13)</f>
        <v>22049.47</v>
      </c>
      <c r="D14" s="80">
        <f>SUM(D7:D13)</f>
        <v>47872.574999999997</v>
      </c>
      <c r="E14" s="25"/>
      <c r="F14" s="25"/>
      <c r="G14" s="25"/>
      <c r="H14" s="25"/>
      <c r="I14" s="25"/>
      <c r="J14" s="25"/>
      <c r="K14" s="25"/>
      <c r="L14" s="25"/>
      <c r="M14" s="25"/>
      <c r="N14" s="25"/>
      <c r="O14" s="25"/>
      <c r="P14" s="25"/>
      <c r="Q14" s="25"/>
      <c r="R14" s="2"/>
      <c r="S14" s="2"/>
      <c r="T14" s="2"/>
      <c r="U14" s="2"/>
    </row>
    <row r="15" spans="1:21" x14ac:dyDescent="0.2">
      <c r="A15" s="60"/>
      <c r="B15" s="24"/>
      <c r="C15" s="26"/>
      <c r="D15" s="26"/>
      <c r="E15" s="26"/>
      <c r="F15" s="26"/>
      <c r="G15" s="26"/>
      <c r="H15" s="26"/>
      <c r="I15" s="26"/>
      <c r="J15" s="26"/>
      <c r="K15" s="26"/>
      <c r="L15" s="26"/>
      <c r="M15" s="26"/>
      <c r="N15" s="26"/>
      <c r="O15" s="26"/>
      <c r="P15" s="26"/>
      <c r="Q15" s="26"/>
      <c r="R15" s="6"/>
      <c r="S15" s="6"/>
      <c r="T15" s="6"/>
      <c r="U15" s="6"/>
    </row>
    <row r="16" spans="1:21" x14ac:dyDescent="0.2">
      <c r="B16" s="24"/>
      <c r="C16" s="26"/>
      <c r="D16" s="26"/>
      <c r="E16" s="26"/>
      <c r="F16" s="26"/>
      <c r="G16" s="26"/>
      <c r="H16" s="26"/>
      <c r="I16" s="26"/>
      <c r="J16" s="26"/>
      <c r="K16" s="26"/>
      <c r="L16" s="26"/>
      <c r="M16" s="26"/>
      <c r="N16" s="26"/>
      <c r="O16" s="26"/>
      <c r="P16" s="26"/>
      <c r="Q16" s="26"/>
      <c r="R16" s="6"/>
      <c r="S16" s="6"/>
      <c r="T16" s="6"/>
      <c r="U16" s="6"/>
    </row>
    <row r="17" spans="1:21" ht="26.25" thickBot="1" x14ac:dyDescent="0.25">
      <c r="A17" s="111" t="s">
        <v>347</v>
      </c>
      <c r="B17" s="24"/>
      <c r="C17" s="26"/>
      <c r="D17" s="26"/>
      <c r="E17" s="26"/>
      <c r="F17" s="26"/>
      <c r="G17" s="26"/>
      <c r="H17" s="26"/>
      <c r="I17" s="26"/>
      <c r="J17" s="26"/>
      <c r="K17" s="26"/>
      <c r="L17" s="26"/>
      <c r="M17" s="26"/>
      <c r="N17" s="26"/>
      <c r="O17" s="26"/>
      <c r="P17" s="26"/>
      <c r="Q17" s="26"/>
      <c r="R17" s="6"/>
      <c r="S17" s="6"/>
      <c r="T17" s="6"/>
      <c r="U17" s="6"/>
    </row>
    <row r="18" spans="1:21" s="3" customFormat="1" ht="16.5" thickBot="1" x14ac:dyDescent="0.3">
      <c r="A18" s="13" t="s">
        <v>127</v>
      </c>
      <c r="B18" s="17" t="s">
        <v>3</v>
      </c>
      <c r="C18" s="17" t="s">
        <v>63</v>
      </c>
      <c r="D18" s="17">
        <v>2020</v>
      </c>
      <c r="E18" s="17">
        <v>2021</v>
      </c>
      <c r="F18" s="17">
        <v>2022</v>
      </c>
      <c r="G18" s="17">
        <v>2023</v>
      </c>
      <c r="H18" s="17">
        <v>2024</v>
      </c>
      <c r="I18" s="17">
        <v>2025</v>
      </c>
      <c r="J18" s="17">
        <v>2026</v>
      </c>
      <c r="K18" s="17">
        <v>2027</v>
      </c>
      <c r="L18" s="17">
        <v>2028</v>
      </c>
      <c r="M18" s="17">
        <v>2029</v>
      </c>
      <c r="N18" s="17">
        <v>2030</v>
      </c>
      <c r="O18" s="17">
        <v>2031</v>
      </c>
      <c r="P18" s="17">
        <v>2032</v>
      </c>
      <c r="Q18" s="189" t="s">
        <v>28</v>
      </c>
      <c r="R18" s="73" t="s">
        <v>64</v>
      </c>
    </row>
    <row r="19" spans="1:21" ht="41.45" customHeight="1" x14ac:dyDescent="0.25">
      <c r="A19" s="97" t="s">
        <v>142</v>
      </c>
      <c r="B19" s="94" t="s">
        <v>143</v>
      </c>
      <c r="C19" s="229">
        <f>'[1]Q2-Q4 2019'!$AT38</f>
        <v>121193.595</v>
      </c>
      <c r="D19" s="81">
        <v>211061.17520000011</v>
      </c>
      <c r="E19" s="81">
        <v>217776.29000000004</v>
      </c>
      <c r="F19" s="81">
        <v>260989.43</v>
      </c>
      <c r="G19" s="81">
        <v>179000.33000000002</v>
      </c>
      <c r="H19" s="81">
        <v>190297.41</v>
      </c>
      <c r="I19" s="81">
        <v>209792.91999999998</v>
      </c>
      <c r="J19" s="81">
        <v>61245.760000000002</v>
      </c>
      <c r="K19" s="54"/>
      <c r="L19" s="54"/>
      <c r="M19" s="54"/>
      <c r="N19" s="54"/>
      <c r="O19" s="54"/>
      <c r="P19" s="54"/>
      <c r="Q19" s="188">
        <f>SUM(C19:P19)</f>
        <v>1451356.9102</v>
      </c>
      <c r="R19" s="51"/>
    </row>
    <row r="20" spans="1:21" ht="38.25" x14ac:dyDescent="0.25">
      <c r="A20" s="95" t="s">
        <v>144</v>
      </c>
      <c r="B20" s="96" t="s">
        <v>145</v>
      </c>
      <c r="C20" s="229">
        <f>'[1]Q2-Q4 2019'!$AT39</f>
        <v>16305.514999999999</v>
      </c>
      <c r="D20" s="81">
        <v>61789.408300000017</v>
      </c>
      <c r="E20" s="81">
        <v>79113.972500000003</v>
      </c>
      <c r="F20" s="81">
        <v>106954.65</v>
      </c>
      <c r="G20" s="81">
        <v>104860.39</v>
      </c>
      <c r="H20" s="81">
        <v>40195.360000000001</v>
      </c>
      <c r="I20" s="81">
        <v>20098.349999999999</v>
      </c>
      <c r="J20" s="81">
        <v>0</v>
      </c>
      <c r="K20" s="55"/>
      <c r="L20" s="55"/>
      <c r="M20" s="56"/>
      <c r="N20" s="53"/>
      <c r="O20" s="53"/>
      <c r="P20" s="53"/>
      <c r="Q20" s="188">
        <f t="shared" ref="Q20:Q25" si="1">SUM(C20:P20)</f>
        <v>429317.6458</v>
      </c>
      <c r="R20" s="51"/>
      <c r="S20" s="27"/>
    </row>
    <row r="21" spans="1:21" ht="38.25" x14ac:dyDescent="0.25">
      <c r="A21" s="95" t="s">
        <v>146</v>
      </c>
      <c r="B21" s="94" t="s">
        <v>147</v>
      </c>
      <c r="C21" s="229">
        <f>'[1]Q2-Q4 2019'!$AT40</f>
        <v>7934.9900000000007</v>
      </c>
      <c r="D21" s="81">
        <v>115572.30750000001</v>
      </c>
      <c r="E21" s="81">
        <v>96452.76999999999</v>
      </c>
      <c r="F21" s="81">
        <v>78693.87</v>
      </c>
      <c r="G21" s="81">
        <v>67642.14</v>
      </c>
      <c r="H21" s="81">
        <v>39629.360000000001</v>
      </c>
      <c r="I21" s="81">
        <v>146.51</v>
      </c>
      <c r="J21" s="81">
        <v>0</v>
      </c>
      <c r="K21" s="55"/>
      <c r="L21" s="55"/>
      <c r="M21" s="57"/>
      <c r="N21" s="55"/>
      <c r="O21" s="55"/>
      <c r="P21" s="55"/>
      <c r="Q21" s="188">
        <f t="shared" si="1"/>
        <v>406071.94750000001</v>
      </c>
      <c r="R21" s="51"/>
      <c r="S21" s="27"/>
    </row>
    <row r="22" spans="1:21" ht="25.5" x14ac:dyDescent="0.25">
      <c r="A22" s="97" t="s">
        <v>148</v>
      </c>
      <c r="B22" s="119" t="s">
        <v>137</v>
      </c>
      <c r="C22" s="229">
        <f>'[1]Q2-Q4 2019'!$AT41</f>
        <v>36512.4375</v>
      </c>
      <c r="D22" s="81">
        <v>35630.167500000003</v>
      </c>
      <c r="E22" s="81">
        <v>27813.292500000003</v>
      </c>
      <c r="F22" s="81">
        <v>27908.710000000003</v>
      </c>
      <c r="G22" s="81">
        <v>17967.53</v>
      </c>
      <c r="H22" s="81">
        <v>10817.78</v>
      </c>
      <c r="I22" s="81">
        <v>7081.23</v>
      </c>
      <c r="J22" s="81">
        <v>1752.06</v>
      </c>
      <c r="K22" s="55"/>
      <c r="L22" s="55"/>
      <c r="M22" s="56"/>
      <c r="N22" s="53"/>
      <c r="O22" s="53"/>
      <c r="P22" s="53"/>
      <c r="Q22" s="188">
        <f t="shared" si="1"/>
        <v>165483.20750000002</v>
      </c>
      <c r="R22" s="51"/>
      <c r="S22" s="27"/>
    </row>
    <row r="23" spans="1:21" ht="25.5" x14ac:dyDescent="0.25">
      <c r="A23" s="97" t="s">
        <v>149</v>
      </c>
      <c r="B23" s="94" t="s">
        <v>150</v>
      </c>
      <c r="C23" s="229">
        <f>'[1]Q2-Q4 2019'!$AT42</f>
        <v>5154.8600000000006</v>
      </c>
      <c r="D23" s="81">
        <v>10860.990000000002</v>
      </c>
      <c r="E23" s="81">
        <v>22621.727499999997</v>
      </c>
      <c r="F23" s="81">
        <v>18606</v>
      </c>
      <c r="G23" s="81">
        <v>5707.49</v>
      </c>
      <c r="H23" s="81">
        <v>241.01999999999998</v>
      </c>
      <c r="I23" s="81">
        <v>996.5</v>
      </c>
      <c r="J23" s="81">
        <v>1408.32</v>
      </c>
      <c r="K23" s="55"/>
      <c r="L23" s="55"/>
      <c r="M23" s="56"/>
      <c r="N23" s="53"/>
      <c r="O23" s="53"/>
      <c r="P23" s="53"/>
      <c r="Q23" s="188">
        <f t="shared" si="1"/>
        <v>65596.907500000001</v>
      </c>
      <c r="R23" s="51"/>
      <c r="S23" s="27"/>
    </row>
    <row r="24" spans="1:21" ht="38.25" x14ac:dyDescent="0.25">
      <c r="A24" s="91" t="s">
        <v>151</v>
      </c>
      <c r="B24" s="96" t="s">
        <v>152</v>
      </c>
      <c r="C24" s="229">
        <f>'[1]Q2-Q4 2019'!$AT43</f>
        <v>46195.170000000006</v>
      </c>
      <c r="D24" s="81">
        <v>59981.144999999997</v>
      </c>
      <c r="E24" s="81">
        <v>68001.6875</v>
      </c>
      <c r="F24" s="81">
        <v>56136.37</v>
      </c>
      <c r="G24" s="81">
        <v>67401.09</v>
      </c>
      <c r="H24" s="81">
        <v>27437.000000000004</v>
      </c>
      <c r="I24" s="81">
        <v>22240.760000000002</v>
      </c>
      <c r="J24" s="81">
        <v>12403.529999999999</v>
      </c>
      <c r="K24" s="55"/>
      <c r="L24" s="55"/>
      <c r="M24" s="57"/>
      <c r="N24" s="55"/>
      <c r="O24" s="55"/>
      <c r="P24" s="55"/>
      <c r="Q24" s="188">
        <f t="shared" si="1"/>
        <v>359796.75250000006</v>
      </c>
      <c r="R24" s="51"/>
      <c r="S24" s="27"/>
    </row>
    <row r="25" spans="1:21" ht="26.25" thickBot="1" x14ac:dyDescent="0.3">
      <c r="A25" s="97" t="s">
        <v>153</v>
      </c>
      <c r="B25" s="94" t="s">
        <v>154</v>
      </c>
      <c r="C25" s="229">
        <f>'[1]Q2-Q4 2019'!$AT44</f>
        <v>858.27</v>
      </c>
      <c r="D25" s="81">
        <v>2431.5149999999999</v>
      </c>
      <c r="E25" s="81">
        <v>455.58000000000004</v>
      </c>
      <c r="F25" s="81">
        <v>3610.67</v>
      </c>
      <c r="G25" s="81">
        <v>448.79</v>
      </c>
      <c r="H25" s="81">
        <v>3002.83</v>
      </c>
      <c r="I25" s="81">
        <v>0</v>
      </c>
      <c r="J25" s="81">
        <v>0</v>
      </c>
      <c r="K25" s="55"/>
      <c r="L25" s="55"/>
      <c r="M25" s="57"/>
      <c r="N25" s="55"/>
      <c r="O25" s="55"/>
      <c r="P25" s="55"/>
      <c r="Q25" s="188">
        <f t="shared" si="1"/>
        <v>10807.654999999999</v>
      </c>
      <c r="R25" s="120"/>
      <c r="S25" s="27"/>
    </row>
    <row r="26" spans="1:21" s="3" customFormat="1" ht="16.5" thickBot="1" x14ac:dyDescent="0.3">
      <c r="A26" s="15" t="s">
        <v>155</v>
      </c>
      <c r="B26" s="15"/>
      <c r="C26" s="80">
        <f t="shared" ref="C26:P26" si="2">SUM(C19:C25)</f>
        <v>234154.83749999997</v>
      </c>
      <c r="D26" s="138">
        <f t="shared" si="2"/>
        <v>497326.70850000012</v>
      </c>
      <c r="E26" s="16">
        <f t="shared" si="2"/>
        <v>512235.32000000007</v>
      </c>
      <c r="F26" s="16">
        <f t="shared" si="2"/>
        <v>552899.70000000007</v>
      </c>
      <c r="G26" s="16">
        <f t="shared" si="2"/>
        <v>443027.75999999995</v>
      </c>
      <c r="H26" s="16">
        <f t="shared" si="2"/>
        <v>311620.76000000007</v>
      </c>
      <c r="I26" s="16">
        <f t="shared" si="2"/>
        <v>260356.27000000002</v>
      </c>
      <c r="J26" s="16">
        <f t="shared" si="2"/>
        <v>76809.67</v>
      </c>
      <c r="K26" s="16">
        <f t="shared" si="2"/>
        <v>0</v>
      </c>
      <c r="L26" s="16">
        <f t="shared" si="2"/>
        <v>0</v>
      </c>
      <c r="M26" s="16">
        <f t="shared" si="2"/>
        <v>0</v>
      </c>
      <c r="N26" s="16">
        <f t="shared" si="2"/>
        <v>0</v>
      </c>
      <c r="O26" s="16">
        <f t="shared" si="2"/>
        <v>0</v>
      </c>
      <c r="P26" s="16">
        <f t="shared" si="2"/>
        <v>0</v>
      </c>
      <c r="Q26" s="74">
        <f>SUM(C26:P26)+C14+D14</f>
        <v>2958353.0710000005</v>
      </c>
      <c r="R26" s="124" t="s">
        <v>87</v>
      </c>
    </row>
    <row r="27" spans="1:21" x14ac:dyDescent="0.2">
      <c r="C27" s="26"/>
      <c r="D27" s="26"/>
      <c r="E27" s="26"/>
      <c r="F27" s="26"/>
      <c r="G27" s="26"/>
      <c r="H27" s="26"/>
      <c r="I27" s="26"/>
      <c r="J27" s="26"/>
      <c r="L27" s="26"/>
      <c r="M27" s="26"/>
      <c r="N27" s="26"/>
      <c r="O27" s="26"/>
      <c r="P27" s="26"/>
      <c r="Q27" s="26"/>
    </row>
    <row r="28" spans="1:21" ht="104.25" customHeight="1" x14ac:dyDescent="0.2">
      <c r="A28" s="110" t="s">
        <v>156</v>
      </c>
    </row>
    <row r="34" s="39" customFormat="1" x14ac:dyDescent="0.2"/>
    <row r="35" s="39" customFormat="1" x14ac:dyDescent="0.2"/>
    <row r="36" s="39" customFormat="1" x14ac:dyDescent="0.2"/>
    <row r="37" s="39" customFormat="1" x14ac:dyDescent="0.2"/>
    <row r="38" s="39" customFormat="1" x14ac:dyDescent="0.2"/>
    <row r="39" s="39" customFormat="1" x14ac:dyDescent="0.2"/>
    <row r="40" s="39" customFormat="1" x14ac:dyDescent="0.2"/>
    <row r="41" s="39" customFormat="1" x14ac:dyDescent="0.2"/>
    <row r="42" s="39" customFormat="1" x14ac:dyDescent="0.2"/>
    <row r="43" s="39" customFormat="1" x14ac:dyDescent="0.2"/>
    <row r="44" s="39" customFormat="1" x14ac:dyDescent="0.2"/>
    <row r="45" s="39" customFormat="1" x14ac:dyDescent="0.2"/>
    <row r="46" s="39" customFormat="1" x14ac:dyDescent="0.2"/>
    <row r="47" s="39" customFormat="1" x14ac:dyDescent="0.2"/>
    <row r="48" s="39" customFormat="1" x14ac:dyDescent="0.2"/>
    <row r="49" s="39" customFormat="1" x14ac:dyDescent="0.2"/>
    <row r="50" s="39" customFormat="1" x14ac:dyDescent="0.2"/>
    <row r="51" s="39" customFormat="1" x14ac:dyDescent="0.2"/>
    <row r="52" s="39" customFormat="1" x14ac:dyDescent="0.2"/>
    <row r="53" s="39" customFormat="1" x14ac:dyDescent="0.2"/>
    <row r="55" s="39" customFormat="1" x14ac:dyDescent="0.2"/>
    <row r="56" s="39" customFormat="1" x14ac:dyDescent="0.2"/>
    <row r="57" s="39" customFormat="1" x14ac:dyDescent="0.2"/>
    <row r="58" s="39" customFormat="1" x14ac:dyDescent="0.2"/>
    <row r="59" s="39" customFormat="1" x14ac:dyDescent="0.2"/>
    <row r="60" s="39" customFormat="1" x14ac:dyDescent="0.2"/>
    <row r="61" s="39" customFormat="1" x14ac:dyDescent="0.2"/>
    <row r="62" s="39" customFormat="1" x14ac:dyDescent="0.2"/>
  </sheetData>
  <sheetProtection algorithmName="SHA-512" hashValue="2XkRysJAvidkOMY1j45WLHPFLDfnM8QmZGhJ+TO1UxlE3XBMk5KN66ltH7hOJ60NMJVm6GOo7VN4xt4g39wi4A==" saltValue="ROCbC/sXzHdbEl1FOF+XVg=="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47"/>
  <sheetViews>
    <sheetView zoomScaleNormal="100" workbookViewId="0">
      <pane xSplit="1" topLeftCell="H1" activePane="topRight" state="frozen"/>
      <selection pane="topRight" activeCell="K14" sqref="K14"/>
    </sheetView>
  </sheetViews>
  <sheetFormatPr defaultColWidth="9.140625" defaultRowHeight="12.75" x14ac:dyDescent="0.2"/>
  <cols>
    <col min="1" max="1" width="64.5703125" style="39" bestFit="1" customWidth="1"/>
    <col min="2" max="2" width="27.85546875" style="39" customWidth="1"/>
    <col min="3" max="18" width="22" style="41" customWidth="1"/>
    <col min="19" max="19" width="45.85546875" style="39" customWidth="1"/>
    <col min="20" max="20" width="11.140625" style="39" customWidth="1"/>
    <col min="21" max="21" width="11.5703125" style="39" customWidth="1"/>
    <col min="22" max="22" width="13.42578125" style="39" customWidth="1"/>
    <col min="23" max="23" width="11.42578125" style="39" bestFit="1" customWidth="1"/>
    <col min="24" max="16384" width="9.140625" style="39"/>
  </cols>
  <sheetData>
    <row r="1" spans="1:22" s="6" customFormat="1" ht="15.75" x14ac:dyDescent="0.25">
      <c r="A1" s="117" t="str">
        <f>'1. Expenditures'!A1</f>
        <v>SOMAH Program Administrator</v>
      </c>
      <c r="C1" s="26"/>
      <c r="D1" s="26"/>
      <c r="E1" s="26"/>
      <c r="F1" s="26"/>
      <c r="G1" s="26"/>
      <c r="H1" s="26"/>
      <c r="I1" s="26"/>
      <c r="J1" s="26"/>
      <c r="K1" s="26"/>
      <c r="L1" s="26"/>
      <c r="M1" s="26"/>
      <c r="N1" s="26"/>
      <c r="O1" s="26"/>
      <c r="P1" s="26"/>
      <c r="Q1" s="26"/>
      <c r="R1" s="26"/>
    </row>
    <row r="2" spans="1:22" x14ac:dyDescent="0.2">
      <c r="A2" s="169" t="str">
        <f>'1. Expenditures'!A2</f>
        <v>Reporting Date: July  31, 2026</v>
      </c>
      <c r="B2" s="6"/>
      <c r="C2" s="26"/>
      <c r="D2" s="26"/>
      <c r="E2" s="26"/>
      <c r="F2" s="26"/>
      <c r="G2" s="26"/>
      <c r="H2" s="26"/>
      <c r="I2" s="26"/>
      <c r="J2" s="26"/>
      <c r="K2" s="26"/>
      <c r="L2" s="26"/>
      <c r="M2" s="26"/>
      <c r="N2" s="26"/>
      <c r="O2" s="26"/>
      <c r="P2" s="26"/>
      <c r="Q2" s="26"/>
      <c r="R2" s="26"/>
      <c r="S2" s="6"/>
      <c r="T2" s="6"/>
      <c r="U2" s="6"/>
      <c r="V2" s="6"/>
    </row>
    <row r="3" spans="1:22" x14ac:dyDescent="0.2">
      <c r="A3" s="168" t="str">
        <f>'1. Expenditures'!A3</f>
        <v>Reporting Data Through: June 30, 2026</v>
      </c>
      <c r="B3" s="24"/>
      <c r="C3" s="26"/>
      <c r="D3" s="26"/>
      <c r="E3" s="26"/>
      <c r="F3" s="26"/>
      <c r="G3" s="26"/>
      <c r="H3" s="26"/>
      <c r="I3" s="26"/>
      <c r="J3" s="26"/>
      <c r="K3" s="26"/>
      <c r="L3" s="26"/>
      <c r="M3" s="26"/>
      <c r="N3" s="26"/>
      <c r="O3" s="26"/>
      <c r="P3" s="26"/>
      <c r="Q3" s="26"/>
      <c r="R3" s="26"/>
      <c r="S3" s="6"/>
      <c r="T3" s="6"/>
      <c r="U3" s="6"/>
      <c r="V3" s="6"/>
    </row>
    <row r="4" spans="1:22" x14ac:dyDescent="0.2">
      <c r="A4" s="23"/>
      <c r="B4" s="24"/>
      <c r="C4" s="26"/>
      <c r="D4" s="26"/>
      <c r="E4" s="26"/>
      <c r="F4" s="26"/>
      <c r="G4" s="26"/>
      <c r="H4" s="26"/>
      <c r="I4" s="26"/>
      <c r="J4" s="26"/>
      <c r="K4" s="26"/>
      <c r="L4" s="26"/>
      <c r="M4" s="26"/>
      <c r="N4" s="26"/>
      <c r="O4" s="26"/>
      <c r="P4" s="26"/>
      <c r="Q4" s="26"/>
      <c r="R4" s="26"/>
      <c r="S4" s="6"/>
      <c r="T4" s="6"/>
      <c r="U4" s="6"/>
      <c r="V4" s="6"/>
    </row>
    <row r="5" spans="1:22" ht="13.5" thickBot="1" x14ac:dyDescent="0.25">
      <c r="A5" s="23" t="s">
        <v>157</v>
      </c>
      <c r="B5" s="24"/>
      <c r="C5" s="26"/>
      <c r="D5" s="26"/>
      <c r="E5" s="26"/>
      <c r="F5" s="26"/>
      <c r="G5" s="26"/>
      <c r="H5" s="26"/>
      <c r="I5" s="26"/>
      <c r="J5" s="26"/>
      <c r="K5" s="26"/>
      <c r="L5" s="26"/>
      <c r="M5" s="26"/>
      <c r="N5" s="26"/>
      <c r="O5" s="26"/>
      <c r="P5" s="26"/>
      <c r="Q5" s="26"/>
      <c r="R5" s="26"/>
      <c r="S5" s="6"/>
      <c r="T5" s="6"/>
      <c r="U5" s="6"/>
      <c r="V5" s="6"/>
    </row>
    <row r="6" spans="1:22" s="3" customFormat="1" ht="16.5" thickBot="1" x14ac:dyDescent="0.3">
      <c r="A6" s="13" t="s">
        <v>158</v>
      </c>
      <c r="B6" s="17" t="s">
        <v>3</v>
      </c>
      <c r="C6" s="17">
        <v>2018</v>
      </c>
      <c r="D6" s="17">
        <v>2019</v>
      </c>
      <c r="E6" s="17">
        <v>2020</v>
      </c>
      <c r="F6" s="17">
        <v>2021</v>
      </c>
      <c r="G6" s="17">
        <v>2022</v>
      </c>
      <c r="H6" s="17">
        <v>2023</v>
      </c>
      <c r="I6" s="17">
        <v>2024</v>
      </c>
      <c r="J6" s="17">
        <v>2025</v>
      </c>
      <c r="K6" s="17">
        <v>2026</v>
      </c>
      <c r="L6" s="17">
        <v>2027</v>
      </c>
      <c r="M6" s="17">
        <v>2028</v>
      </c>
      <c r="N6" s="17">
        <v>2029</v>
      </c>
      <c r="O6" s="17">
        <v>2030</v>
      </c>
      <c r="P6" s="17">
        <v>2031</v>
      </c>
      <c r="Q6" s="17">
        <v>2032</v>
      </c>
      <c r="R6" s="18" t="s">
        <v>28</v>
      </c>
      <c r="S6" s="14" t="s">
        <v>64</v>
      </c>
    </row>
    <row r="7" spans="1:22" ht="25.5" customHeight="1" x14ac:dyDescent="0.25">
      <c r="A7" s="91" t="s">
        <v>159</v>
      </c>
      <c r="B7" s="98" t="s">
        <v>160</v>
      </c>
      <c r="C7" s="242">
        <v>0</v>
      </c>
      <c r="D7" s="79">
        <v>24078.977500000005</v>
      </c>
      <c r="E7" s="81">
        <v>5759.9400000000005</v>
      </c>
      <c r="F7" s="81">
        <v>9410.7274999999991</v>
      </c>
      <c r="G7" s="81">
        <v>23777.971217499999</v>
      </c>
      <c r="H7" s="81">
        <v>18075.584999999999</v>
      </c>
      <c r="I7" s="81">
        <v>25095.172500000001</v>
      </c>
      <c r="J7" s="81">
        <v>18802.400000000001</v>
      </c>
      <c r="K7" s="81">
        <v>9577.09</v>
      </c>
      <c r="L7" s="57"/>
      <c r="M7" s="55"/>
      <c r="N7" s="55"/>
      <c r="O7" s="55"/>
      <c r="P7" s="55"/>
      <c r="Q7" s="55"/>
      <c r="R7" s="11">
        <f>SUM(C7:Q7)</f>
        <v>134577.8637175</v>
      </c>
      <c r="S7" s="51"/>
      <c r="T7" s="27"/>
    </row>
    <row r="8" spans="1:22" ht="64.5" customHeight="1" x14ac:dyDescent="0.25">
      <c r="A8" s="91" t="s">
        <v>161</v>
      </c>
      <c r="B8" s="98" t="s">
        <v>162</v>
      </c>
      <c r="C8" s="242">
        <v>0</v>
      </c>
      <c r="D8" s="240">
        <v>211544.09000000003</v>
      </c>
      <c r="E8" s="81">
        <v>151267.528743</v>
      </c>
      <c r="F8" s="81">
        <v>174217.03090000004</v>
      </c>
      <c r="G8" s="81">
        <v>212405.28621749999</v>
      </c>
      <c r="H8" s="81">
        <v>278811.15000000002</v>
      </c>
      <c r="I8" s="81">
        <v>376871.1</v>
      </c>
      <c r="J8" s="81">
        <v>535013.60000000009</v>
      </c>
      <c r="K8" s="81">
        <v>368748.17749999999</v>
      </c>
      <c r="L8" s="57"/>
      <c r="M8" s="55"/>
      <c r="N8" s="55"/>
      <c r="O8" s="55"/>
      <c r="P8" s="55"/>
      <c r="Q8" s="55"/>
      <c r="R8" s="11">
        <f t="shared" ref="R8:R10" si="0">SUM(C8:Q8)</f>
        <v>2308877.9633605005</v>
      </c>
      <c r="S8" s="51"/>
      <c r="T8" s="27"/>
    </row>
    <row r="9" spans="1:22" ht="89.25" customHeight="1" x14ac:dyDescent="0.25">
      <c r="A9" s="91" t="s">
        <v>163</v>
      </c>
      <c r="B9" s="98" t="s">
        <v>164</v>
      </c>
      <c r="C9" s="242">
        <v>0</v>
      </c>
      <c r="D9" s="240">
        <v>1534.3200000000002</v>
      </c>
      <c r="E9" s="81">
        <v>694.58999999999992</v>
      </c>
      <c r="F9" s="81">
        <v>647.29</v>
      </c>
      <c r="G9" s="81">
        <v>225065.13</v>
      </c>
      <c r="H9" s="81">
        <v>134405.935</v>
      </c>
      <c r="I9" s="81">
        <v>97650.294999999984</v>
      </c>
      <c r="J9" s="81">
        <v>86031.37</v>
      </c>
      <c r="K9" s="81">
        <v>29750.565000000002</v>
      </c>
      <c r="L9" s="57"/>
      <c r="M9" s="55"/>
      <c r="N9" s="55"/>
      <c r="O9" s="55"/>
      <c r="P9" s="55"/>
      <c r="Q9" s="55"/>
      <c r="R9" s="11">
        <f t="shared" si="0"/>
        <v>575779.49499999988</v>
      </c>
      <c r="S9" s="51"/>
      <c r="T9" s="27"/>
    </row>
    <row r="10" spans="1:22" ht="66.75" customHeight="1" thickBot="1" x14ac:dyDescent="0.3">
      <c r="A10" s="91" t="s">
        <v>165</v>
      </c>
      <c r="B10" s="98" t="s">
        <v>166</v>
      </c>
      <c r="C10" s="242">
        <v>0</v>
      </c>
      <c r="D10" s="243">
        <v>22587.392500000002</v>
      </c>
      <c r="E10" s="81">
        <v>28872.182500000003</v>
      </c>
      <c r="F10" s="81">
        <v>46763.915000000001</v>
      </c>
      <c r="G10" s="81">
        <v>32807.214999999997</v>
      </c>
      <c r="H10" s="81">
        <v>15857.094999999999</v>
      </c>
      <c r="I10" s="81">
        <v>33013.507499999992</v>
      </c>
      <c r="J10" s="81">
        <v>32498.690000000002</v>
      </c>
      <c r="K10" s="81">
        <v>7593.4249999999993</v>
      </c>
      <c r="L10" s="57"/>
      <c r="M10" s="57"/>
      <c r="N10" s="57"/>
      <c r="O10" s="57"/>
      <c r="P10" s="55"/>
      <c r="Q10" s="55"/>
      <c r="R10" s="11">
        <f t="shared" si="0"/>
        <v>219993.42249999999</v>
      </c>
      <c r="S10" s="170"/>
    </row>
    <row r="11" spans="1:22" s="3" customFormat="1" ht="16.5" thickBot="1" x14ac:dyDescent="0.3">
      <c r="A11" s="46" t="s">
        <v>167</v>
      </c>
      <c r="B11" s="15"/>
      <c r="C11" s="16">
        <f t="shared" ref="C11:Q11" si="1">SUM(C7:C10)</f>
        <v>0</v>
      </c>
      <c r="D11" s="80">
        <f t="shared" si="1"/>
        <v>259744.78000000003</v>
      </c>
      <c r="E11" s="138">
        <f t="shared" si="1"/>
        <v>186594.241243</v>
      </c>
      <c r="F11" s="16">
        <f t="shared" si="1"/>
        <v>231038.96340000007</v>
      </c>
      <c r="G11" s="16">
        <f t="shared" si="1"/>
        <v>494055.60243500001</v>
      </c>
      <c r="H11" s="16">
        <f t="shared" si="1"/>
        <v>447149.76500000001</v>
      </c>
      <c r="I11" s="16">
        <f t="shared" si="1"/>
        <v>532630.07499999995</v>
      </c>
      <c r="J11" s="16">
        <f t="shared" si="1"/>
        <v>672346.06</v>
      </c>
      <c r="K11" s="16">
        <f t="shared" si="1"/>
        <v>415669.25750000001</v>
      </c>
      <c r="L11" s="16">
        <f t="shared" si="1"/>
        <v>0</v>
      </c>
      <c r="M11" s="16">
        <f t="shared" si="1"/>
        <v>0</v>
      </c>
      <c r="N11" s="16">
        <f t="shared" si="1"/>
        <v>0</v>
      </c>
      <c r="O11" s="16">
        <f t="shared" si="1"/>
        <v>0</v>
      </c>
      <c r="P11" s="16">
        <f t="shared" si="1"/>
        <v>0</v>
      </c>
      <c r="Q11" s="16">
        <f t="shared" si="1"/>
        <v>0</v>
      </c>
      <c r="R11" s="75">
        <f>SUM(C11:Q11)</f>
        <v>3239228.7445780002</v>
      </c>
      <c r="S11" s="14"/>
    </row>
    <row r="12" spans="1:22" x14ac:dyDescent="0.2">
      <c r="D12" s="26"/>
      <c r="E12" s="26"/>
      <c r="K12" s="26"/>
      <c r="L12" s="26"/>
      <c r="M12" s="26"/>
      <c r="N12" s="26"/>
      <c r="O12" s="26"/>
      <c r="P12" s="26"/>
      <c r="Q12" s="26"/>
      <c r="R12" s="26"/>
    </row>
    <row r="17" spans="3:18" x14ac:dyDescent="0.2">
      <c r="D17" s="128"/>
    </row>
    <row r="19" spans="3:18" x14ac:dyDescent="0.2">
      <c r="C19" s="39"/>
      <c r="D19" s="39"/>
      <c r="E19" s="39"/>
      <c r="F19" s="39"/>
      <c r="G19" s="39"/>
      <c r="H19" s="39"/>
      <c r="I19" s="39"/>
      <c r="J19" s="39"/>
      <c r="K19" s="39"/>
      <c r="L19" s="39"/>
      <c r="M19" s="39"/>
      <c r="N19" s="39"/>
      <c r="O19" s="39"/>
      <c r="P19" s="39"/>
      <c r="Q19" s="39"/>
      <c r="R19" s="39"/>
    </row>
    <row r="20" spans="3:18" x14ac:dyDescent="0.2">
      <c r="C20" s="39"/>
      <c r="D20" s="39"/>
      <c r="E20" s="39"/>
      <c r="F20" s="39"/>
      <c r="G20" s="39"/>
      <c r="H20" s="39"/>
      <c r="I20" s="39"/>
      <c r="J20" s="39"/>
      <c r="K20" s="39"/>
      <c r="L20" s="39"/>
      <c r="M20" s="39"/>
      <c r="N20" s="39"/>
      <c r="O20" s="39"/>
      <c r="P20" s="39"/>
      <c r="Q20" s="39"/>
      <c r="R20" s="39"/>
    </row>
    <row r="21" spans="3:18" x14ac:dyDescent="0.2">
      <c r="C21" s="39"/>
      <c r="D21" s="39"/>
      <c r="E21" s="39"/>
      <c r="F21" s="39"/>
      <c r="G21" s="39"/>
      <c r="H21" s="39"/>
      <c r="I21" s="39"/>
      <c r="J21" s="39"/>
      <c r="K21" s="39"/>
      <c r="L21" s="39"/>
      <c r="M21" s="39"/>
      <c r="N21" s="39"/>
      <c r="O21" s="39"/>
      <c r="P21" s="39"/>
      <c r="Q21" s="39"/>
      <c r="R21" s="39"/>
    </row>
    <row r="22" spans="3:18" x14ac:dyDescent="0.2">
      <c r="C22" s="39"/>
      <c r="D22" s="39"/>
      <c r="E22" s="39"/>
      <c r="F22" s="39"/>
      <c r="G22" s="39"/>
      <c r="H22" s="39"/>
      <c r="I22" s="39"/>
      <c r="J22" s="39"/>
      <c r="K22" s="39"/>
      <c r="L22" s="39"/>
      <c r="M22" s="39"/>
      <c r="N22" s="39"/>
      <c r="O22" s="39"/>
      <c r="P22" s="39"/>
      <c r="Q22" s="39"/>
      <c r="R22" s="39"/>
    </row>
    <row r="23" spans="3:18" x14ac:dyDescent="0.2">
      <c r="C23" s="39"/>
      <c r="D23" s="39"/>
      <c r="E23" s="39"/>
      <c r="F23" s="39"/>
      <c r="G23" s="39"/>
      <c r="H23" s="39"/>
      <c r="I23" s="39"/>
      <c r="J23" s="39"/>
      <c r="K23" s="39"/>
      <c r="L23" s="39"/>
      <c r="M23" s="39"/>
      <c r="N23" s="39"/>
      <c r="O23" s="39"/>
      <c r="P23" s="39"/>
      <c r="Q23" s="39"/>
      <c r="R23" s="39"/>
    </row>
    <row r="24" spans="3:18" x14ac:dyDescent="0.2">
      <c r="C24" s="39"/>
      <c r="D24" s="39"/>
      <c r="E24" s="39"/>
      <c r="F24" s="39"/>
      <c r="G24" s="39"/>
      <c r="H24" s="39"/>
      <c r="I24" s="39"/>
      <c r="J24" s="39"/>
      <c r="K24" s="39"/>
      <c r="L24" s="39"/>
      <c r="M24" s="39"/>
      <c r="N24" s="39"/>
      <c r="O24" s="39"/>
      <c r="P24" s="39"/>
      <c r="Q24" s="39"/>
      <c r="R24" s="39"/>
    </row>
    <row r="25" spans="3:18" x14ac:dyDescent="0.2">
      <c r="C25" s="39"/>
      <c r="D25" s="39"/>
      <c r="E25" s="39"/>
      <c r="F25" s="39"/>
      <c r="G25" s="39"/>
      <c r="H25" s="39"/>
      <c r="I25" s="39"/>
      <c r="J25" s="39"/>
      <c r="K25" s="39"/>
      <c r="L25" s="39"/>
      <c r="M25" s="39"/>
      <c r="N25" s="39"/>
      <c r="O25" s="39"/>
      <c r="P25" s="39"/>
      <c r="Q25" s="39"/>
      <c r="R25" s="39"/>
    </row>
    <row r="26" spans="3:18" x14ac:dyDescent="0.2">
      <c r="C26" s="39"/>
      <c r="D26" s="39"/>
      <c r="E26" s="39"/>
      <c r="F26" s="39"/>
      <c r="G26" s="39"/>
      <c r="H26" s="39"/>
      <c r="I26" s="39"/>
      <c r="J26" s="39"/>
      <c r="K26" s="39"/>
      <c r="L26" s="39"/>
      <c r="M26" s="39"/>
      <c r="N26" s="39"/>
      <c r="O26" s="39"/>
      <c r="P26" s="39"/>
      <c r="Q26" s="39"/>
      <c r="R26" s="39"/>
    </row>
    <row r="27" spans="3:18" x14ac:dyDescent="0.2">
      <c r="C27" s="39"/>
      <c r="D27" s="39"/>
      <c r="E27" s="39"/>
      <c r="F27" s="39"/>
      <c r="G27" s="39"/>
      <c r="H27" s="39"/>
      <c r="I27" s="39"/>
      <c r="J27" s="39"/>
      <c r="K27" s="39"/>
      <c r="L27" s="39"/>
      <c r="M27" s="39"/>
      <c r="N27" s="39"/>
      <c r="O27" s="39"/>
      <c r="P27" s="39"/>
      <c r="Q27" s="39"/>
      <c r="R27" s="39"/>
    </row>
    <row r="28" spans="3:18" x14ac:dyDescent="0.2">
      <c r="C28" s="39"/>
      <c r="D28" s="39"/>
      <c r="E28" s="39"/>
      <c r="F28" s="39"/>
      <c r="G28" s="39"/>
      <c r="H28" s="39"/>
      <c r="I28" s="39"/>
      <c r="J28" s="39"/>
      <c r="K28" s="39"/>
      <c r="L28" s="39"/>
      <c r="M28" s="39"/>
      <c r="N28" s="39"/>
      <c r="O28" s="39"/>
      <c r="P28" s="39"/>
      <c r="Q28" s="39"/>
      <c r="R28" s="39"/>
    </row>
    <row r="29" spans="3:18" x14ac:dyDescent="0.2">
      <c r="C29" s="39"/>
      <c r="D29" s="39"/>
      <c r="E29" s="39"/>
      <c r="F29" s="39"/>
      <c r="G29" s="39"/>
      <c r="H29" s="39"/>
      <c r="I29" s="39"/>
      <c r="J29" s="39"/>
      <c r="K29" s="39"/>
      <c r="L29" s="39"/>
      <c r="M29" s="39"/>
      <c r="N29" s="39"/>
      <c r="O29" s="39"/>
      <c r="P29" s="39"/>
      <c r="Q29" s="39"/>
      <c r="R29" s="39"/>
    </row>
    <row r="30" spans="3:18" x14ac:dyDescent="0.2">
      <c r="C30" s="39"/>
      <c r="D30" s="39"/>
      <c r="E30" s="39"/>
      <c r="F30" s="39"/>
      <c r="G30" s="39"/>
      <c r="H30" s="39"/>
      <c r="I30" s="39"/>
      <c r="J30" s="39"/>
      <c r="K30" s="39"/>
      <c r="L30" s="39"/>
      <c r="M30" s="39"/>
      <c r="N30" s="39"/>
      <c r="O30" s="39"/>
      <c r="P30" s="39"/>
      <c r="Q30" s="39"/>
      <c r="R30" s="39"/>
    </row>
    <row r="31" spans="3:18" x14ac:dyDescent="0.2">
      <c r="C31" s="39"/>
      <c r="D31" s="39"/>
      <c r="E31" s="39"/>
      <c r="F31" s="39"/>
      <c r="G31" s="39"/>
      <c r="H31" s="39"/>
      <c r="I31" s="39"/>
      <c r="J31" s="39"/>
      <c r="K31" s="39"/>
      <c r="L31" s="39"/>
      <c r="M31" s="39"/>
      <c r="N31" s="39"/>
      <c r="O31" s="39"/>
      <c r="P31" s="39"/>
      <c r="Q31" s="39"/>
      <c r="R31" s="39"/>
    </row>
    <row r="32" spans="3:18" x14ac:dyDescent="0.2">
      <c r="C32" s="39"/>
      <c r="D32" s="39"/>
      <c r="E32" s="39"/>
      <c r="F32" s="39"/>
      <c r="G32" s="39"/>
      <c r="H32" s="39"/>
      <c r="I32" s="39"/>
      <c r="J32" s="39"/>
      <c r="K32" s="39"/>
      <c r="L32" s="39"/>
      <c r="M32" s="39"/>
      <c r="N32" s="39"/>
      <c r="O32" s="39"/>
      <c r="P32" s="39"/>
      <c r="Q32" s="39"/>
      <c r="R32" s="39"/>
    </row>
    <row r="33" s="39" customFormat="1" x14ac:dyDescent="0.2"/>
    <row r="34" s="39" customFormat="1" x14ac:dyDescent="0.2"/>
    <row r="35" s="39" customFormat="1" x14ac:dyDescent="0.2"/>
    <row r="36" s="39" customFormat="1" x14ac:dyDescent="0.2"/>
    <row r="37" s="39" customFormat="1" x14ac:dyDescent="0.2"/>
    <row r="38" s="39" customFormat="1" x14ac:dyDescent="0.2"/>
    <row r="40" s="39" customFormat="1" x14ac:dyDescent="0.2"/>
    <row r="41" s="39" customFormat="1" x14ac:dyDescent="0.2"/>
    <row r="42" s="39" customFormat="1" x14ac:dyDescent="0.2"/>
    <row r="43" s="39" customFormat="1" x14ac:dyDescent="0.2"/>
    <row r="44" s="39" customFormat="1" x14ac:dyDescent="0.2"/>
    <row r="45" s="39" customFormat="1" x14ac:dyDescent="0.2"/>
    <row r="46" s="39" customFormat="1" x14ac:dyDescent="0.2"/>
    <row r="47" s="39" customFormat="1" x14ac:dyDescent="0.2"/>
  </sheetData>
  <sheetProtection algorithmName="SHA-512" hashValue="LHq+TZvLzh1Lu07S4072i7cAYiZLKZ3gwXLJZxno7PWtJfhTSAaHVd/qnPbgN3i5mBC+Hd0uz7CxpMF78whG1A==" saltValue="r176q0C7bfxOQ2brNQQg9w=="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BF2ED-E172-4CEA-A8AF-59B51E7B6250}">
  <dimension ref="A1:BC40"/>
  <sheetViews>
    <sheetView zoomScaleNormal="100" workbookViewId="0">
      <pane xSplit="1" topLeftCell="S1" activePane="topRight" state="frozen"/>
      <selection pane="topRight" activeCell="AG34" sqref="AG34"/>
    </sheetView>
  </sheetViews>
  <sheetFormatPr defaultRowHeight="15" x14ac:dyDescent="0.25"/>
  <cols>
    <col min="1" max="1" width="43.140625" customWidth="1"/>
    <col min="2" max="11" width="15.42578125" customWidth="1"/>
    <col min="12" max="12" width="16.85546875" bestFit="1" customWidth="1"/>
    <col min="13" max="13" width="16.5703125" customWidth="1"/>
    <col min="14" max="14" width="16.85546875" bestFit="1" customWidth="1"/>
    <col min="15" max="42" width="15.42578125" customWidth="1"/>
    <col min="43" max="54" width="15.42578125" hidden="1" customWidth="1"/>
    <col min="55" max="55" width="18" customWidth="1"/>
  </cols>
  <sheetData>
    <row r="1" spans="1:55" ht="15.75" x14ac:dyDescent="0.25">
      <c r="A1" s="118" t="str">
        <f>'1. Expenditures'!A1</f>
        <v>SOMAH Program Administrator</v>
      </c>
    </row>
    <row r="2" spans="1:55" x14ac:dyDescent="0.25">
      <c r="A2" s="60" t="str">
        <f>'1. Expenditures'!A2</f>
        <v>Reporting Date: July  31, 2026</v>
      </c>
    </row>
    <row r="3" spans="1:55" x14ac:dyDescent="0.25">
      <c r="A3" s="60" t="str">
        <f>'1. Expenditures'!A3</f>
        <v>Reporting Data Through: June 30, 2026</v>
      </c>
    </row>
    <row r="5" spans="1:55" ht="15.75" thickBot="1" x14ac:dyDescent="0.3">
      <c r="A5" s="23" t="s">
        <v>168</v>
      </c>
    </row>
    <row r="6" spans="1:55" s="39" customFormat="1" ht="13.5" thickBot="1" x14ac:dyDescent="0.25">
      <c r="A6" s="40" t="s">
        <v>169</v>
      </c>
      <c r="B6" s="69" t="s">
        <v>170</v>
      </c>
      <c r="C6" s="70" t="s">
        <v>171</v>
      </c>
      <c r="D6" s="70" t="s">
        <v>172</v>
      </c>
      <c r="E6" s="70" t="s">
        <v>173</v>
      </c>
      <c r="F6" s="70" t="s">
        <v>174</v>
      </c>
      <c r="G6" s="69" t="s">
        <v>175</v>
      </c>
      <c r="H6" s="69" t="s">
        <v>176</v>
      </c>
      <c r="I6" s="69" t="s">
        <v>177</v>
      </c>
      <c r="J6" s="69" t="s">
        <v>178</v>
      </c>
      <c r="K6" s="70" t="s">
        <v>179</v>
      </c>
      <c r="L6" s="70" t="s">
        <v>180</v>
      </c>
      <c r="M6" s="70" t="s">
        <v>181</v>
      </c>
      <c r="N6" s="70" t="s">
        <v>182</v>
      </c>
      <c r="O6" s="69" t="s">
        <v>183</v>
      </c>
      <c r="P6" s="69" t="s">
        <v>184</v>
      </c>
      <c r="Q6" s="69" t="s">
        <v>185</v>
      </c>
      <c r="R6" s="69" t="s">
        <v>186</v>
      </c>
      <c r="S6" s="70" t="s">
        <v>187</v>
      </c>
      <c r="T6" s="70" t="s">
        <v>188</v>
      </c>
      <c r="U6" s="70" t="s">
        <v>189</v>
      </c>
      <c r="V6" s="70" t="s">
        <v>190</v>
      </c>
      <c r="W6" s="69" t="s">
        <v>191</v>
      </c>
      <c r="X6" s="69" t="s">
        <v>192</v>
      </c>
      <c r="Y6" s="69" t="s">
        <v>193</v>
      </c>
      <c r="Z6" s="69" t="s">
        <v>194</v>
      </c>
      <c r="AA6" s="70" t="s">
        <v>195</v>
      </c>
      <c r="AB6" s="70" t="s">
        <v>196</v>
      </c>
      <c r="AC6" s="70" t="s">
        <v>197</v>
      </c>
      <c r="AD6" s="70" t="s">
        <v>198</v>
      </c>
      <c r="AE6" s="69" t="s">
        <v>199</v>
      </c>
      <c r="AF6" s="69" t="s">
        <v>200</v>
      </c>
      <c r="AG6" s="69" t="s">
        <v>201</v>
      </c>
      <c r="AH6" s="69" t="s">
        <v>202</v>
      </c>
      <c r="AI6" s="70" t="s">
        <v>203</v>
      </c>
      <c r="AJ6" s="70" t="s">
        <v>204</v>
      </c>
      <c r="AK6" s="70" t="s">
        <v>205</v>
      </c>
      <c r="AL6" s="70" t="s">
        <v>206</v>
      </c>
      <c r="AM6" s="69" t="s">
        <v>207</v>
      </c>
      <c r="AN6" s="69" t="s">
        <v>208</v>
      </c>
      <c r="AO6" s="69" t="s">
        <v>209</v>
      </c>
      <c r="AP6" s="69" t="s">
        <v>210</v>
      </c>
      <c r="AQ6" s="70" t="s">
        <v>211</v>
      </c>
      <c r="AR6" s="70" t="s">
        <v>212</v>
      </c>
      <c r="AS6" s="70" t="s">
        <v>213</v>
      </c>
      <c r="AT6" s="70" t="s">
        <v>214</v>
      </c>
      <c r="AU6" s="190" t="s">
        <v>333</v>
      </c>
      <c r="AV6" s="190" t="s">
        <v>335</v>
      </c>
      <c r="AW6" s="190" t="s">
        <v>336</v>
      </c>
      <c r="AX6" s="190" t="s">
        <v>337</v>
      </c>
      <c r="AY6" s="70" t="s">
        <v>334</v>
      </c>
      <c r="AZ6" s="70" t="s">
        <v>338</v>
      </c>
      <c r="BA6" s="70" t="s">
        <v>339</v>
      </c>
      <c r="BB6" s="70" t="s">
        <v>340</v>
      </c>
      <c r="BC6" s="69" t="s">
        <v>215</v>
      </c>
    </row>
    <row r="7" spans="1:55" x14ac:dyDescent="0.25">
      <c r="A7" s="99" t="s">
        <v>216</v>
      </c>
      <c r="B7" s="83"/>
      <c r="C7" s="83"/>
      <c r="D7" s="83"/>
      <c r="E7" s="83"/>
      <c r="F7" s="132">
        <v>126238</v>
      </c>
      <c r="G7" s="83"/>
      <c r="H7" s="83"/>
      <c r="I7" s="133">
        <v>267690</v>
      </c>
      <c r="J7" s="133">
        <v>199794</v>
      </c>
      <c r="K7" s="133">
        <v>670826</v>
      </c>
      <c r="L7" s="133">
        <v>1709637</v>
      </c>
      <c r="M7" s="133">
        <v>1117020.8</v>
      </c>
      <c r="N7" s="133">
        <v>1276660</v>
      </c>
      <c r="O7" s="133">
        <v>593109</v>
      </c>
      <c r="P7" s="133">
        <v>822312.6</v>
      </c>
      <c r="Q7" s="133">
        <v>1002658.8</v>
      </c>
      <c r="R7" s="133">
        <v>53499.4</v>
      </c>
      <c r="S7" s="132">
        <v>367951</v>
      </c>
      <c r="T7" s="132">
        <v>435142</v>
      </c>
      <c r="U7" s="134">
        <v>1433510.4</v>
      </c>
      <c r="V7" s="134">
        <v>4563457</v>
      </c>
      <c r="W7" s="203">
        <v>3853665</v>
      </c>
      <c r="X7" s="203">
        <v>1848154.2</v>
      </c>
      <c r="Y7" s="202">
        <v>1676836.9000000001</v>
      </c>
      <c r="Z7" s="202">
        <v>1325119.9100000004</v>
      </c>
      <c r="AA7" s="202">
        <v>1451824.9000000001</v>
      </c>
      <c r="AB7" s="202">
        <v>2495119.0500000003</v>
      </c>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175">
        <f>SUM(B7:BB7)</f>
        <v>27290225.959999997</v>
      </c>
    </row>
    <row r="8" spans="1:55" x14ac:dyDescent="0.25">
      <c r="A8" s="99" t="s">
        <v>217</v>
      </c>
      <c r="B8" s="83"/>
      <c r="C8" s="83"/>
      <c r="D8" s="83"/>
      <c r="E8" s="83"/>
      <c r="F8" s="132"/>
      <c r="G8" s="83"/>
      <c r="H8" s="83"/>
      <c r="I8" s="133">
        <f>482746.8+111330.6</f>
        <v>594077.4</v>
      </c>
      <c r="J8" s="133">
        <v>139761.60000000001</v>
      </c>
      <c r="K8" s="133">
        <v>0</v>
      </c>
      <c r="L8" s="133">
        <v>1302836.3999999999</v>
      </c>
      <c r="M8" s="133">
        <v>1352728</v>
      </c>
      <c r="N8" s="133">
        <v>361955.4</v>
      </c>
      <c r="O8" s="133">
        <v>201378</v>
      </c>
      <c r="P8" s="133">
        <v>1802060.4</v>
      </c>
      <c r="Q8" s="133">
        <v>2010780.6</v>
      </c>
      <c r="R8" s="133">
        <v>2345934</v>
      </c>
      <c r="S8" s="132">
        <v>5516364.7999999998</v>
      </c>
      <c r="T8" s="132">
        <v>5125490.8</v>
      </c>
      <c r="U8" s="134">
        <v>6482834.4000000004</v>
      </c>
      <c r="V8" s="134">
        <v>3282735</v>
      </c>
      <c r="W8" s="202">
        <v>1546518</v>
      </c>
      <c r="X8" s="203">
        <v>2401791.6</v>
      </c>
      <c r="Y8" s="202">
        <v>7393297.6199999973</v>
      </c>
      <c r="Z8" s="202">
        <v>5094698.6900000004</v>
      </c>
      <c r="AA8" s="202">
        <v>5120644.5200000014</v>
      </c>
      <c r="AB8" s="202">
        <v>7590247.8499999987</v>
      </c>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175">
        <f t="shared" ref="BC8:BC16" si="0">SUM(B8:BB8)</f>
        <v>59666135.079999998</v>
      </c>
    </row>
    <row r="9" spans="1:55" x14ac:dyDescent="0.25">
      <c r="A9" s="100" t="s">
        <v>218</v>
      </c>
      <c r="B9" s="83"/>
      <c r="C9" s="83"/>
      <c r="D9" s="83"/>
      <c r="E9" s="83"/>
      <c r="F9" s="83"/>
      <c r="G9" s="83"/>
      <c r="H9" s="83"/>
      <c r="I9" s="133">
        <f>661721+437208+537160+194173+263567+382604</f>
        <v>2476433</v>
      </c>
      <c r="J9" s="133">
        <f>457293+164727.8+131023.2</f>
        <v>753044</v>
      </c>
      <c r="K9" s="133">
        <v>1081738.3999999999</v>
      </c>
      <c r="L9" s="133">
        <v>2640880.7999999998</v>
      </c>
      <c r="M9" s="133">
        <v>2734668</v>
      </c>
      <c r="N9" s="133">
        <v>1660970.4</v>
      </c>
      <c r="O9" s="133">
        <v>256347</v>
      </c>
      <c r="P9" s="133">
        <v>1582685.6</v>
      </c>
      <c r="Q9" s="133">
        <v>415671</v>
      </c>
      <c r="R9" s="133">
        <v>98994.4</v>
      </c>
      <c r="S9" s="132">
        <v>768164.6</v>
      </c>
      <c r="T9" s="132">
        <v>1415827</v>
      </c>
      <c r="U9" s="134">
        <v>1138074.6000000001</v>
      </c>
      <c r="V9" s="134">
        <v>1837800.2</v>
      </c>
      <c r="W9" s="202">
        <v>1084516.2</v>
      </c>
      <c r="X9" s="202">
        <v>175160.6</v>
      </c>
      <c r="Y9" s="224">
        <v>1042137.8</v>
      </c>
      <c r="Z9" s="224">
        <v>275533.65000000002</v>
      </c>
      <c r="AA9" s="202">
        <v>1576931.7799999998</v>
      </c>
      <c r="AB9" s="202">
        <v>2956917.67</v>
      </c>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175">
        <f t="shared" si="0"/>
        <v>25972496.700000003</v>
      </c>
    </row>
    <row r="10" spans="1:55" x14ac:dyDescent="0.25">
      <c r="A10" s="100" t="s">
        <v>219</v>
      </c>
      <c r="B10" s="83"/>
      <c r="C10" s="83"/>
      <c r="D10" s="83"/>
      <c r="E10" s="83"/>
      <c r="F10" s="83"/>
      <c r="G10" s="83"/>
      <c r="H10" s="83"/>
      <c r="I10" s="133">
        <f>274177.2+200392.8+570366.6</f>
        <v>1044936.6</v>
      </c>
      <c r="J10" s="133">
        <f>314530.2+198744</f>
        <v>513274.2</v>
      </c>
      <c r="K10" s="133">
        <v>531433.80000000005</v>
      </c>
      <c r="L10" s="133">
        <v>1143873.6000000001</v>
      </c>
      <c r="M10" s="133">
        <v>1551963.6</v>
      </c>
      <c r="N10" s="133">
        <v>392206.2</v>
      </c>
      <c r="O10" s="133">
        <v>554299.80000000005</v>
      </c>
      <c r="P10" s="133">
        <v>207696</v>
      </c>
      <c r="Q10" s="133">
        <v>1291915.8</v>
      </c>
      <c r="R10" s="133">
        <v>748902.6</v>
      </c>
      <c r="S10" s="132">
        <v>3582861.5999999996</v>
      </c>
      <c r="T10" s="132">
        <v>1248226.2</v>
      </c>
      <c r="U10" s="134">
        <v>2285997</v>
      </c>
      <c r="V10" s="134">
        <v>441340.8</v>
      </c>
      <c r="W10" s="202">
        <v>2706888.6</v>
      </c>
      <c r="X10" s="202">
        <v>903441.6</v>
      </c>
      <c r="Y10" s="202">
        <v>3696611.4</v>
      </c>
      <c r="Z10" s="202">
        <v>1754459.9500000002</v>
      </c>
      <c r="AA10" s="202">
        <v>1403484.2000000002</v>
      </c>
      <c r="AB10" s="202">
        <v>1795684.12</v>
      </c>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175">
        <f t="shared" si="0"/>
        <v>27799497.670000002</v>
      </c>
    </row>
    <row r="11" spans="1:55" x14ac:dyDescent="0.25">
      <c r="A11" s="100" t="s">
        <v>220</v>
      </c>
      <c r="B11" s="83"/>
      <c r="C11" s="83"/>
      <c r="D11" s="83"/>
      <c r="E11" s="83"/>
      <c r="F11" s="83"/>
      <c r="G11" s="83"/>
      <c r="H11" s="83"/>
      <c r="I11" s="133">
        <v>333408</v>
      </c>
      <c r="J11" s="133">
        <v>223901</v>
      </c>
      <c r="K11" s="133">
        <v>209826</v>
      </c>
      <c r="L11" s="133">
        <v>1108147</v>
      </c>
      <c r="M11" s="133">
        <v>1437356.8</v>
      </c>
      <c r="N11" s="133">
        <v>808756</v>
      </c>
      <c r="O11" s="133">
        <v>137536.20000000001</v>
      </c>
      <c r="P11" s="133">
        <v>273341</v>
      </c>
      <c r="Q11" s="133">
        <v>335156.40000000002</v>
      </c>
      <c r="R11" s="133">
        <v>0</v>
      </c>
      <c r="S11" s="194">
        <v>0</v>
      </c>
      <c r="T11" s="132">
        <v>113341</v>
      </c>
      <c r="U11" s="134">
        <v>60710.8</v>
      </c>
      <c r="V11" s="134">
        <v>808422.40000000002</v>
      </c>
      <c r="W11" s="202">
        <v>671869.8</v>
      </c>
      <c r="X11" s="202">
        <v>18590.599999999999</v>
      </c>
      <c r="Y11" s="202">
        <v>1083928.2</v>
      </c>
      <c r="Z11" s="202">
        <v>30365.129999999997</v>
      </c>
      <c r="AA11" s="202">
        <v>68581.119999999995</v>
      </c>
      <c r="AB11" s="202">
        <v>159368.32000000001</v>
      </c>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175">
        <f t="shared" si="0"/>
        <v>7882605.7700000005</v>
      </c>
    </row>
    <row r="12" spans="1:55" x14ac:dyDescent="0.25">
      <c r="A12" s="100" t="s">
        <v>221</v>
      </c>
      <c r="B12" s="83"/>
      <c r="C12" s="83"/>
      <c r="D12" s="83"/>
      <c r="E12" s="83"/>
      <c r="F12" s="83"/>
      <c r="G12" s="83"/>
      <c r="H12" s="83"/>
      <c r="I12" s="133">
        <v>0</v>
      </c>
      <c r="J12" s="133">
        <v>0</v>
      </c>
      <c r="K12" s="133">
        <v>404035.2</v>
      </c>
      <c r="L12" s="133">
        <v>0</v>
      </c>
      <c r="M12" s="133">
        <v>1689702</v>
      </c>
      <c r="N12" s="133">
        <v>335261.40000000002</v>
      </c>
      <c r="O12" s="133">
        <v>0</v>
      </c>
      <c r="P12" s="133">
        <v>429816.6</v>
      </c>
      <c r="Q12" s="133">
        <v>637987.80000000005</v>
      </c>
      <c r="R12" s="133">
        <v>0</v>
      </c>
      <c r="S12" s="132">
        <v>438820.8</v>
      </c>
      <c r="T12" s="132">
        <v>185121</v>
      </c>
      <c r="U12" s="134">
        <v>1201422</v>
      </c>
      <c r="V12" s="134">
        <v>193747.8</v>
      </c>
      <c r="W12" s="202">
        <v>816741.6</v>
      </c>
      <c r="X12" s="202">
        <v>418401</v>
      </c>
      <c r="Y12" s="202">
        <v>0</v>
      </c>
      <c r="Z12" s="202">
        <v>877855.59</v>
      </c>
      <c r="AA12" s="202">
        <v>0</v>
      </c>
      <c r="AB12" s="202">
        <v>1023325.3</v>
      </c>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175">
        <f t="shared" si="0"/>
        <v>8652238.0899999999</v>
      </c>
    </row>
    <row r="13" spans="1:55" x14ac:dyDescent="0.25">
      <c r="A13" s="100" t="s">
        <v>222</v>
      </c>
      <c r="B13" s="83"/>
      <c r="C13" s="83"/>
      <c r="D13" s="83"/>
      <c r="E13" s="83"/>
      <c r="F13" s="83"/>
      <c r="G13" s="83"/>
      <c r="H13" s="83"/>
      <c r="I13" s="83"/>
      <c r="J13" s="83"/>
      <c r="K13" s="84"/>
      <c r="L13" s="84"/>
      <c r="M13" s="133"/>
      <c r="N13" s="133"/>
      <c r="O13" s="133"/>
      <c r="P13" s="133"/>
      <c r="Q13" s="84"/>
      <c r="R13" s="84"/>
      <c r="S13" s="84"/>
      <c r="T13" s="84"/>
      <c r="U13" s="84"/>
      <c r="V13" s="84"/>
      <c r="W13" s="84"/>
      <c r="X13" s="84"/>
      <c r="Y13" s="84"/>
      <c r="Z13" s="84"/>
      <c r="AA13" s="202"/>
      <c r="AB13" s="202"/>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175">
        <f t="shared" si="0"/>
        <v>0</v>
      </c>
    </row>
    <row r="14" spans="1:55" x14ac:dyDescent="0.25">
      <c r="A14" s="100" t="s">
        <v>223</v>
      </c>
      <c r="B14" s="83"/>
      <c r="C14" s="83"/>
      <c r="D14" s="83"/>
      <c r="E14" s="83"/>
      <c r="F14" s="83"/>
      <c r="G14" s="83"/>
      <c r="H14" s="83"/>
      <c r="I14" s="83"/>
      <c r="J14" s="83"/>
      <c r="K14" s="84"/>
      <c r="L14" s="84"/>
      <c r="M14" s="133"/>
      <c r="N14" s="133"/>
      <c r="O14" s="133"/>
      <c r="P14" s="133"/>
      <c r="Q14" s="84"/>
      <c r="R14" s="84"/>
      <c r="S14" s="84"/>
      <c r="T14" s="84"/>
      <c r="U14" s="84"/>
      <c r="V14" s="84"/>
      <c r="W14" s="84"/>
      <c r="X14" s="84"/>
      <c r="Y14" s="84"/>
      <c r="Z14" s="84"/>
      <c r="AA14" s="202"/>
      <c r="AB14" s="202"/>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175">
        <f t="shared" si="0"/>
        <v>0</v>
      </c>
    </row>
    <row r="15" spans="1:55" x14ac:dyDescent="0.25">
      <c r="A15" s="101" t="s">
        <v>224</v>
      </c>
      <c r="B15" s="83"/>
      <c r="C15" s="83"/>
      <c r="D15" s="83"/>
      <c r="E15" s="83"/>
      <c r="F15" s="83"/>
      <c r="G15" s="83"/>
      <c r="H15" s="83"/>
      <c r="I15" s="83"/>
      <c r="J15" s="83"/>
      <c r="K15" s="84"/>
      <c r="L15" s="84"/>
      <c r="M15" s="133"/>
      <c r="N15" s="133"/>
      <c r="O15" s="133"/>
      <c r="P15" s="133"/>
      <c r="Q15" s="84"/>
      <c r="R15" s="84"/>
      <c r="S15" s="84"/>
      <c r="T15" s="84"/>
      <c r="U15" s="84"/>
      <c r="V15" s="84"/>
      <c r="W15" s="84"/>
      <c r="X15" s="84"/>
      <c r="Y15" s="84"/>
      <c r="Z15" s="84"/>
      <c r="AA15" s="202"/>
      <c r="AB15" s="202"/>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175">
        <f t="shared" si="0"/>
        <v>0</v>
      </c>
    </row>
    <row r="16" spans="1:55" ht="15.75" thickBot="1" x14ac:dyDescent="0.3">
      <c r="A16" s="101" t="s">
        <v>225</v>
      </c>
      <c r="B16" s="83"/>
      <c r="C16" s="83"/>
      <c r="D16" s="83"/>
      <c r="E16" s="83"/>
      <c r="F16" s="83"/>
      <c r="G16" s="83"/>
      <c r="H16" s="83"/>
      <c r="I16" s="83"/>
      <c r="J16" s="83"/>
      <c r="K16" s="84"/>
      <c r="L16" s="84"/>
      <c r="M16" s="133"/>
      <c r="N16" s="133"/>
      <c r="O16" s="133"/>
      <c r="P16" s="133"/>
      <c r="Q16" s="84"/>
      <c r="R16" s="84"/>
      <c r="S16" s="84"/>
      <c r="T16" s="84"/>
      <c r="U16" s="84"/>
      <c r="V16" s="84"/>
      <c r="W16" s="84"/>
      <c r="X16" s="84"/>
      <c r="Y16" s="84"/>
      <c r="Z16" s="84"/>
      <c r="AA16" s="202"/>
      <c r="AB16" s="202"/>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175">
        <f t="shared" si="0"/>
        <v>0</v>
      </c>
    </row>
    <row r="17" spans="1:55" s="39" customFormat="1" ht="13.5" thickBot="1" x14ac:dyDescent="0.25">
      <c r="A17" s="40" t="s">
        <v>226</v>
      </c>
      <c r="B17" s="85">
        <f>SUM(B7:B16)</f>
        <v>0</v>
      </c>
      <c r="C17" s="176">
        <f t="shared" ref="C17:F17" si="1">SUM(C7:C16)</f>
        <v>0</v>
      </c>
      <c r="D17" s="176">
        <f t="shared" si="1"/>
        <v>0</v>
      </c>
      <c r="E17" s="176">
        <f t="shared" si="1"/>
        <v>0</v>
      </c>
      <c r="F17" s="181">
        <f t="shared" si="1"/>
        <v>126238</v>
      </c>
      <c r="G17" s="179">
        <f>SUM(G7:G16)</f>
        <v>0</v>
      </c>
      <c r="H17" s="179">
        <f t="shared" ref="H17:J17" si="2">SUM(H7:H16)</f>
        <v>0</v>
      </c>
      <c r="I17" s="179">
        <f t="shared" si="2"/>
        <v>4716545</v>
      </c>
      <c r="J17" s="179">
        <f t="shared" si="2"/>
        <v>1829774.8</v>
      </c>
      <c r="K17" s="180">
        <f>SUM(K7:K16)</f>
        <v>2897859.4000000004</v>
      </c>
      <c r="L17" s="180">
        <f>SUM(L7:L16)</f>
        <v>7905374.7999999989</v>
      </c>
      <c r="M17" s="180">
        <f t="shared" ref="M17:N17" si="3">SUM(M7:M16)</f>
        <v>9883439.1999999993</v>
      </c>
      <c r="N17" s="180">
        <f t="shared" si="3"/>
        <v>4835809.4000000004</v>
      </c>
      <c r="O17" s="179">
        <f>SUM(O7:O16)</f>
        <v>1742670</v>
      </c>
      <c r="P17" s="179">
        <f t="shared" ref="P17:R17" si="4">SUM(P7:P16)</f>
        <v>5117912.1999999993</v>
      </c>
      <c r="Q17" s="179">
        <f t="shared" si="4"/>
        <v>5694170.4000000004</v>
      </c>
      <c r="R17" s="179">
        <f t="shared" si="4"/>
        <v>3247330.4</v>
      </c>
      <c r="S17" s="180">
        <f>SUM(S7:S16)</f>
        <v>10674162.800000001</v>
      </c>
      <c r="T17" s="180">
        <f t="shared" ref="T17:V17" si="5">SUM(T7:T16)</f>
        <v>8523148</v>
      </c>
      <c r="U17" s="180">
        <f t="shared" si="5"/>
        <v>12602549.200000001</v>
      </c>
      <c r="V17" s="180">
        <f t="shared" si="5"/>
        <v>11127503.200000001</v>
      </c>
      <c r="W17" s="179">
        <f>SUM(W7:W16)</f>
        <v>10680199.200000001</v>
      </c>
      <c r="X17" s="179">
        <f t="shared" ref="X17:Z17" si="6">SUM(X7:X16)</f>
        <v>5765539.5999999987</v>
      </c>
      <c r="Y17" s="179">
        <f t="shared" si="6"/>
        <v>14892811.919999998</v>
      </c>
      <c r="Z17" s="179">
        <f t="shared" si="6"/>
        <v>9358032.9200000018</v>
      </c>
      <c r="AA17" s="180">
        <f>SUM(AA7:AA16)</f>
        <v>9621466.5200000014</v>
      </c>
      <c r="AB17" s="180">
        <f t="shared" ref="AB17:AD17" si="7">SUM(AB7:AB16)</f>
        <v>16020662.309999999</v>
      </c>
      <c r="AC17" s="180">
        <f t="shared" si="7"/>
        <v>0</v>
      </c>
      <c r="AD17" s="180">
        <f t="shared" si="7"/>
        <v>0</v>
      </c>
      <c r="AE17" s="179">
        <f>SUM(AE7:AE16)</f>
        <v>0</v>
      </c>
      <c r="AF17" s="179">
        <f t="shared" ref="AF17:AH17" si="8">SUM(AF7:AF16)</f>
        <v>0</v>
      </c>
      <c r="AG17" s="179">
        <f t="shared" si="8"/>
        <v>0</v>
      </c>
      <c r="AH17" s="179">
        <f t="shared" si="8"/>
        <v>0</v>
      </c>
      <c r="AI17" s="180">
        <f>SUM(AI7:AI16)</f>
        <v>0</v>
      </c>
      <c r="AJ17" s="180">
        <f t="shared" ref="AJ17:AL17" si="9">SUM(AJ7:AJ16)</f>
        <v>0</v>
      </c>
      <c r="AK17" s="180">
        <f t="shared" si="9"/>
        <v>0</v>
      </c>
      <c r="AL17" s="180">
        <f t="shared" si="9"/>
        <v>0</v>
      </c>
      <c r="AM17" s="179">
        <f>SUM(AM7:AM16)</f>
        <v>0</v>
      </c>
      <c r="AN17" s="179">
        <f t="shared" ref="AN17:AP17" si="10">SUM(AN7:AN16)</f>
        <v>0</v>
      </c>
      <c r="AO17" s="179">
        <f t="shared" si="10"/>
        <v>0</v>
      </c>
      <c r="AP17" s="179">
        <f t="shared" si="10"/>
        <v>0</v>
      </c>
      <c r="AQ17" s="180">
        <f>SUM(AQ7:AQ16)</f>
        <v>0</v>
      </c>
      <c r="AR17" s="180">
        <f t="shared" ref="AR17:BB17" si="11">SUM(AR7:AR16)</f>
        <v>0</v>
      </c>
      <c r="AS17" s="180">
        <f t="shared" si="11"/>
        <v>0</v>
      </c>
      <c r="AT17" s="180">
        <f t="shared" si="11"/>
        <v>0</v>
      </c>
      <c r="AU17" s="191">
        <f t="shared" si="11"/>
        <v>0</v>
      </c>
      <c r="AV17" s="191">
        <f t="shared" si="11"/>
        <v>0</v>
      </c>
      <c r="AW17" s="191">
        <f t="shared" si="11"/>
        <v>0</v>
      </c>
      <c r="AX17" s="191">
        <f t="shared" si="11"/>
        <v>0</v>
      </c>
      <c r="AY17" s="180">
        <f t="shared" si="11"/>
        <v>0</v>
      </c>
      <c r="AZ17" s="180">
        <f t="shared" si="11"/>
        <v>0</v>
      </c>
      <c r="BA17" s="180">
        <f t="shared" si="11"/>
        <v>0</v>
      </c>
      <c r="BB17" s="180">
        <f t="shared" si="11"/>
        <v>0</v>
      </c>
      <c r="BC17" s="179">
        <f>SUM(BC7:BC16)</f>
        <v>157263199.27000001</v>
      </c>
    </row>
    <row r="19" spans="1:55" ht="117" customHeight="1" x14ac:dyDescent="0.25">
      <c r="A19" s="171" t="s">
        <v>227</v>
      </c>
    </row>
    <row r="21" spans="1:55" ht="15.75" thickBot="1" x14ac:dyDescent="0.3">
      <c r="A21" s="23" t="s">
        <v>388</v>
      </c>
    </row>
    <row r="22" spans="1:55" s="39" customFormat="1" ht="13.5" thickBot="1" x14ac:dyDescent="0.25">
      <c r="A22" s="40" t="s">
        <v>169</v>
      </c>
      <c r="B22" s="69" t="s">
        <v>170</v>
      </c>
      <c r="C22" s="70" t="s">
        <v>171</v>
      </c>
      <c r="D22" s="70" t="s">
        <v>172</v>
      </c>
      <c r="E22" s="70" t="s">
        <v>173</v>
      </c>
      <c r="F22" s="70" t="s">
        <v>174</v>
      </c>
      <c r="G22" s="69" t="s">
        <v>175</v>
      </c>
      <c r="H22" s="69" t="s">
        <v>176</v>
      </c>
      <c r="I22" s="69" t="s">
        <v>177</v>
      </c>
      <c r="J22" s="69" t="s">
        <v>178</v>
      </c>
      <c r="K22" s="70" t="s">
        <v>179</v>
      </c>
      <c r="L22" s="70" t="s">
        <v>180</v>
      </c>
      <c r="M22" s="70" t="s">
        <v>181</v>
      </c>
      <c r="N22" s="70" t="s">
        <v>182</v>
      </c>
      <c r="O22" s="69" t="s">
        <v>183</v>
      </c>
      <c r="P22" s="69" t="s">
        <v>184</v>
      </c>
      <c r="Q22" s="69" t="s">
        <v>185</v>
      </c>
      <c r="R22" s="69" t="s">
        <v>186</v>
      </c>
      <c r="S22" s="70" t="s">
        <v>187</v>
      </c>
      <c r="T22" s="70" t="s">
        <v>188</v>
      </c>
      <c r="U22" s="70" t="s">
        <v>189</v>
      </c>
      <c r="V22" s="70" t="s">
        <v>190</v>
      </c>
      <c r="W22" s="69" t="s">
        <v>191</v>
      </c>
      <c r="X22" s="69" t="s">
        <v>192</v>
      </c>
      <c r="Y22" s="69" t="s">
        <v>193</v>
      </c>
      <c r="Z22" s="69" t="s">
        <v>194</v>
      </c>
      <c r="AA22" s="70" t="s">
        <v>195</v>
      </c>
      <c r="AB22" s="70" t="s">
        <v>196</v>
      </c>
      <c r="AC22" s="70" t="s">
        <v>197</v>
      </c>
      <c r="AD22" s="70" t="s">
        <v>198</v>
      </c>
      <c r="AE22" s="69" t="s">
        <v>199</v>
      </c>
      <c r="AF22" s="69" t="s">
        <v>200</v>
      </c>
      <c r="AG22" s="69" t="s">
        <v>201</v>
      </c>
      <c r="AH22" s="69" t="s">
        <v>202</v>
      </c>
      <c r="AI22" s="70" t="s">
        <v>203</v>
      </c>
      <c r="AJ22" s="70" t="s">
        <v>204</v>
      </c>
      <c r="AK22" s="70" t="s">
        <v>205</v>
      </c>
      <c r="AL22" s="70" t="s">
        <v>206</v>
      </c>
      <c r="AM22" s="69" t="s">
        <v>207</v>
      </c>
      <c r="AN22" s="69" t="s">
        <v>208</v>
      </c>
      <c r="AO22" s="69" t="s">
        <v>209</v>
      </c>
      <c r="AP22" s="69" t="s">
        <v>210</v>
      </c>
      <c r="AQ22" s="70" t="s">
        <v>211</v>
      </c>
      <c r="AR22" s="70" t="s">
        <v>212</v>
      </c>
      <c r="AS22" s="70" t="s">
        <v>213</v>
      </c>
      <c r="AT22" s="70" t="s">
        <v>214</v>
      </c>
      <c r="AU22" s="190" t="s">
        <v>333</v>
      </c>
      <c r="AV22" s="190" t="s">
        <v>335</v>
      </c>
      <c r="AW22" s="190" t="s">
        <v>336</v>
      </c>
      <c r="AX22" s="190" t="s">
        <v>337</v>
      </c>
      <c r="AY22" s="70" t="s">
        <v>334</v>
      </c>
      <c r="AZ22" s="70" t="s">
        <v>338</v>
      </c>
      <c r="BA22" s="70" t="s">
        <v>339</v>
      </c>
      <c r="BB22" s="70" t="s">
        <v>340</v>
      </c>
      <c r="BC22" s="69" t="s">
        <v>215</v>
      </c>
    </row>
    <row r="23" spans="1:55" x14ac:dyDescent="0.25">
      <c r="A23" s="99" t="s">
        <v>228</v>
      </c>
      <c r="B23" s="83"/>
      <c r="C23" s="83"/>
      <c r="D23" s="83"/>
      <c r="E23" s="83"/>
      <c r="F23" s="83"/>
      <c r="G23" s="131"/>
      <c r="H23" s="79"/>
      <c r="I23" s="132"/>
      <c r="J23" s="133"/>
      <c r="K23" s="132"/>
      <c r="L23" s="133"/>
      <c r="M23" s="133"/>
      <c r="N23" s="133"/>
      <c r="O23" s="133"/>
      <c r="P23" s="133"/>
      <c r="Q23" s="133"/>
      <c r="R23" s="184"/>
      <c r="S23" s="134"/>
      <c r="T23" s="134"/>
      <c r="U23" s="134"/>
      <c r="V23" s="134"/>
      <c r="W23" s="134"/>
      <c r="X23" s="134"/>
      <c r="Y23" s="134"/>
      <c r="Z23" s="134"/>
      <c r="AA23" s="134"/>
      <c r="AB23" s="134"/>
      <c r="AC23" s="134">
        <v>677040.85000000009</v>
      </c>
      <c r="AD23" s="134">
        <v>1510106.2099999997</v>
      </c>
      <c r="AE23" s="134">
        <v>15737661.679999996</v>
      </c>
      <c r="AF23" s="134">
        <v>19921020.979999993</v>
      </c>
      <c r="AG23" s="134">
        <v>20763145.759999998</v>
      </c>
      <c r="AH23" s="134">
        <v>21116148.630000003</v>
      </c>
      <c r="AI23" s="134">
        <v>21288079.07</v>
      </c>
      <c r="AJ23" s="134">
        <v>24713855.689999998</v>
      </c>
      <c r="AK23" s="134">
        <v>45279506.890000001</v>
      </c>
      <c r="AL23" s="134">
        <v>0</v>
      </c>
      <c r="AM23" s="134">
        <v>5901885.8239999898</v>
      </c>
      <c r="AN23" s="134"/>
      <c r="AO23" s="134"/>
      <c r="AP23" s="134"/>
      <c r="AQ23" s="134"/>
      <c r="AR23" s="134"/>
      <c r="AS23" s="134"/>
      <c r="AT23" s="134"/>
      <c r="AU23" s="134"/>
      <c r="AV23" s="134"/>
      <c r="AW23" s="134"/>
      <c r="AX23" s="134"/>
      <c r="AY23" s="134"/>
      <c r="AZ23" s="134"/>
      <c r="BA23" s="134"/>
      <c r="BB23" s="134"/>
      <c r="BC23" s="175">
        <f>SUM(B23:BB23)</f>
        <v>176908451.58399999</v>
      </c>
    </row>
    <row r="24" spans="1:55" x14ac:dyDescent="0.25">
      <c r="A24" s="100" t="s">
        <v>229</v>
      </c>
      <c r="B24" s="79"/>
      <c r="C24" s="83"/>
      <c r="D24" s="83"/>
      <c r="E24" s="83"/>
      <c r="F24" s="83"/>
      <c r="G24" s="135"/>
      <c r="H24" s="133"/>
      <c r="I24" s="133"/>
      <c r="J24" s="132"/>
      <c r="K24" s="133"/>
      <c r="L24" s="133"/>
      <c r="M24" s="132"/>
      <c r="N24" s="133"/>
      <c r="O24" s="133"/>
      <c r="P24" s="133"/>
      <c r="Q24" s="133"/>
      <c r="R24" s="133"/>
      <c r="S24" s="134"/>
      <c r="T24" s="134"/>
      <c r="U24" s="134"/>
      <c r="V24" s="134"/>
      <c r="W24" s="134"/>
      <c r="X24" s="134"/>
      <c r="Y24" s="134"/>
      <c r="Z24" s="134"/>
      <c r="AA24" s="134"/>
      <c r="AB24" s="134"/>
      <c r="AC24" s="134">
        <v>165973.54</v>
      </c>
      <c r="AD24" s="134">
        <v>1121262.0900000001</v>
      </c>
      <c r="AE24" s="134">
        <v>5583941.8600000003</v>
      </c>
      <c r="AF24" s="134">
        <v>10994781.280000001</v>
      </c>
      <c r="AG24" s="134">
        <v>15049495.180000002</v>
      </c>
      <c r="AH24" s="134">
        <v>6431798.0700000003</v>
      </c>
      <c r="AI24" s="134">
        <v>4574027.0199999996</v>
      </c>
      <c r="AJ24" s="134">
        <v>5945235.71</v>
      </c>
      <c r="AK24" s="134">
        <v>1352213.3</v>
      </c>
      <c r="AL24" s="134">
        <v>0</v>
      </c>
      <c r="AM24" s="134">
        <v>2087775.9999999991</v>
      </c>
      <c r="AN24" s="134"/>
      <c r="AO24" s="134"/>
      <c r="AP24" s="134"/>
      <c r="AQ24" s="134"/>
      <c r="AR24" s="134"/>
      <c r="AS24" s="134"/>
      <c r="AT24" s="134"/>
      <c r="AU24" s="134"/>
      <c r="AV24" s="134"/>
      <c r="AW24" s="134"/>
      <c r="AX24" s="134"/>
      <c r="AY24" s="134"/>
      <c r="AZ24" s="134"/>
      <c r="BA24" s="134"/>
      <c r="BB24" s="134"/>
      <c r="BC24" s="175">
        <f t="shared" ref="BC24:BC27" si="12">SUM(B24:BB24)</f>
        <v>53306504.050000004</v>
      </c>
    </row>
    <row r="25" spans="1:55" x14ac:dyDescent="0.25">
      <c r="A25" s="100" t="s">
        <v>230</v>
      </c>
      <c r="B25" s="83"/>
      <c r="C25" s="83"/>
      <c r="D25" s="83"/>
      <c r="E25" s="83"/>
      <c r="F25" s="83"/>
      <c r="G25" s="133"/>
      <c r="H25" s="133"/>
      <c r="I25" s="132"/>
      <c r="J25" s="133"/>
      <c r="K25" s="132"/>
      <c r="L25" s="133"/>
      <c r="M25" s="133"/>
      <c r="N25" s="133"/>
      <c r="O25" s="133"/>
      <c r="P25" s="132"/>
      <c r="Q25" s="133"/>
      <c r="R25" s="134"/>
      <c r="S25" s="134"/>
      <c r="T25" s="132"/>
      <c r="U25" s="134"/>
      <c r="V25" s="134"/>
      <c r="W25" s="134"/>
      <c r="X25" s="134"/>
      <c r="Y25" s="134"/>
      <c r="Z25" s="134"/>
      <c r="AA25" s="134"/>
      <c r="AB25" s="134"/>
      <c r="AC25" s="134">
        <v>208468.65999999997</v>
      </c>
      <c r="AD25" s="134">
        <v>0</v>
      </c>
      <c r="AE25" s="134">
        <v>1794556.33</v>
      </c>
      <c r="AF25" s="134">
        <v>5020165.3499999996</v>
      </c>
      <c r="AG25" s="134">
        <v>1371091.08</v>
      </c>
      <c r="AH25" s="134">
        <v>2227163.4700000002</v>
      </c>
      <c r="AI25" s="134">
        <v>3917477.2899999996</v>
      </c>
      <c r="AJ25" s="134">
        <v>10564393.26</v>
      </c>
      <c r="AK25" s="134">
        <v>4722491.41</v>
      </c>
      <c r="AL25" s="134">
        <v>0</v>
      </c>
      <c r="AM25" s="134">
        <v>443089.06666666601</v>
      </c>
      <c r="AN25" s="134"/>
      <c r="AO25" s="134"/>
      <c r="AP25" s="134"/>
      <c r="AQ25" s="134"/>
      <c r="AR25" s="134"/>
      <c r="AS25" s="134"/>
      <c r="AT25" s="134"/>
      <c r="AU25" s="134"/>
      <c r="AV25" s="134"/>
      <c r="AW25" s="134"/>
      <c r="AX25" s="134"/>
      <c r="AY25" s="134"/>
      <c r="AZ25" s="134"/>
      <c r="BA25" s="134"/>
      <c r="BB25" s="134"/>
      <c r="BC25" s="175">
        <f t="shared" si="12"/>
        <v>30268895.916666664</v>
      </c>
    </row>
    <row r="26" spans="1:55" x14ac:dyDescent="0.25">
      <c r="A26" s="100" t="s">
        <v>231</v>
      </c>
      <c r="B26" s="83"/>
      <c r="C26" s="83"/>
      <c r="D26" s="83"/>
      <c r="E26" s="83"/>
      <c r="F26" s="83"/>
      <c r="G26" s="83"/>
      <c r="H26" s="83"/>
      <c r="I26" s="132"/>
      <c r="J26" s="133"/>
      <c r="K26" s="134"/>
      <c r="L26" s="133"/>
      <c r="M26" s="134"/>
      <c r="N26" s="133"/>
      <c r="O26" s="133"/>
      <c r="P26" s="134"/>
      <c r="Q26" s="133"/>
      <c r="R26" s="134"/>
      <c r="S26" s="134"/>
      <c r="T26" s="134"/>
      <c r="U26" s="134"/>
      <c r="V26" s="134"/>
      <c r="W26" s="134"/>
      <c r="X26" s="134"/>
      <c r="Y26" s="134"/>
      <c r="Z26" s="134"/>
      <c r="AA26" s="134"/>
      <c r="AB26" s="134"/>
      <c r="AC26" s="134">
        <v>0</v>
      </c>
      <c r="AD26" s="134">
        <v>0</v>
      </c>
      <c r="AE26" s="134">
        <v>0</v>
      </c>
      <c r="AF26" s="134">
        <v>0</v>
      </c>
      <c r="AG26" s="134">
        <v>0</v>
      </c>
      <c r="AH26" s="134">
        <v>0</v>
      </c>
      <c r="AI26" s="134">
        <v>0</v>
      </c>
      <c r="AJ26" s="134">
        <v>0</v>
      </c>
      <c r="AK26" s="134">
        <v>0</v>
      </c>
      <c r="AL26" s="134">
        <v>0</v>
      </c>
      <c r="AM26" s="134">
        <v>0</v>
      </c>
      <c r="AN26" s="134"/>
      <c r="AO26" s="134"/>
      <c r="AP26" s="134"/>
      <c r="AQ26" s="134"/>
      <c r="AR26" s="134"/>
      <c r="AS26" s="134"/>
      <c r="AT26" s="134"/>
      <c r="AU26" s="134"/>
      <c r="AV26" s="134"/>
      <c r="AW26" s="134"/>
      <c r="AX26" s="134"/>
      <c r="AY26" s="134"/>
      <c r="AZ26" s="134"/>
      <c r="BA26" s="134"/>
      <c r="BB26" s="134"/>
      <c r="BC26" s="175">
        <f t="shared" si="12"/>
        <v>0</v>
      </c>
    </row>
    <row r="27" spans="1:55" ht="15.75" thickBot="1" x14ac:dyDescent="0.3">
      <c r="A27" s="101" t="s">
        <v>232</v>
      </c>
      <c r="B27" s="83"/>
      <c r="C27" s="83"/>
      <c r="D27" s="83"/>
      <c r="E27" s="83"/>
      <c r="F27" s="83"/>
      <c r="G27" s="83"/>
      <c r="H27" s="83"/>
      <c r="I27" s="132"/>
      <c r="J27" s="133"/>
      <c r="K27" s="134"/>
      <c r="L27" s="133"/>
      <c r="M27" s="133"/>
      <c r="N27" s="133"/>
      <c r="O27" s="133"/>
      <c r="P27" s="134"/>
      <c r="Q27" s="134"/>
      <c r="R27" s="134"/>
      <c r="S27" s="134"/>
      <c r="T27" s="134"/>
      <c r="U27" s="134"/>
      <c r="V27" s="134"/>
      <c r="W27" s="134"/>
      <c r="X27" s="134"/>
      <c r="Y27" s="134"/>
      <c r="Z27" s="134"/>
      <c r="AA27" s="134"/>
      <c r="AB27" s="134"/>
      <c r="AC27" s="134">
        <v>268818.21999999997</v>
      </c>
      <c r="AD27" s="134">
        <v>0</v>
      </c>
      <c r="AE27" s="134">
        <v>179212</v>
      </c>
      <c r="AF27" s="134">
        <v>0</v>
      </c>
      <c r="AG27" s="134">
        <v>0</v>
      </c>
      <c r="AH27" s="134">
        <v>0</v>
      </c>
      <c r="AI27" s="134"/>
      <c r="AJ27" s="134"/>
      <c r="AK27" s="134"/>
      <c r="AL27" s="134">
        <v>0</v>
      </c>
      <c r="AM27" s="134"/>
      <c r="AN27" s="134"/>
      <c r="AO27" s="134"/>
      <c r="AP27" s="134"/>
      <c r="AQ27" s="134"/>
      <c r="AR27" s="134"/>
      <c r="AS27" s="134"/>
      <c r="AT27" s="134"/>
      <c r="AU27" s="134"/>
      <c r="AV27" s="134"/>
      <c r="AW27" s="134"/>
      <c r="AX27" s="134"/>
      <c r="AY27" s="134"/>
      <c r="AZ27" s="134"/>
      <c r="BA27" s="134"/>
      <c r="BB27" s="134"/>
      <c r="BC27" s="175">
        <f t="shared" si="12"/>
        <v>448030.22</v>
      </c>
    </row>
    <row r="28" spans="1:55" s="39" customFormat="1" ht="13.5" thickBot="1" x14ac:dyDescent="0.25">
      <c r="A28" s="40" t="s">
        <v>233</v>
      </c>
      <c r="B28" s="85">
        <f>SUM(B23:B27)</f>
        <v>0</v>
      </c>
      <c r="C28" s="86">
        <f t="shared" ref="C28:R28" si="13">SUM(C23:C27)</f>
        <v>0</v>
      </c>
      <c r="D28" s="86">
        <f t="shared" si="13"/>
        <v>0</v>
      </c>
      <c r="E28" s="86">
        <f t="shared" si="13"/>
        <v>0</v>
      </c>
      <c r="F28" s="86">
        <f t="shared" si="13"/>
        <v>0</v>
      </c>
      <c r="G28" s="85">
        <f t="shared" si="13"/>
        <v>0</v>
      </c>
      <c r="H28" s="85">
        <f t="shared" si="13"/>
        <v>0</v>
      </c>
      <c r="I28" s="85">
        <f t="shared" si="13"/>
        <v>0</v>
      </c>
      <c r="J28" s="85">
        <f t="shared" si="13"/>
        <v>0</v>
      </c>
      <c r="K28" s="86">
        <f t="shared" si="13"/>
        <v>0</v>
      </c>
      <c r="L28" s="86">
        <f t="shared" si="13"/>
        <v>0</v>
      </c>
      <c r="M28" s="86">
        <f t="shared" si="13"/>
        <v>0</v>
      </c>
      <c r="N28" s="86">
        <f t="shared" si="13"/>
        <v>0</v>
      </c>
      <c r="O28" s="179">
        <f t="shared" si="13"/>
        <v>0</v>
      </c>
      <c r="P28" s="179">
        <f t="shared" si="13"/>
        <v>0</v>
      </c>
      <c r="Q28" s="179">
        <f t="shared" si="13"/>
        <v>0</v>
      </c>
      <c r="R28" s="179">
        <f t="shared" si="13"/>
        <v>0</v>
      </c>
      <c r="S28" s="180">
        <f t="shared" ref="S28" si="14">SUM(S23:S27)</f>
        <v>0</v>
      </c>
      <c r="T28" s="180">
        <f t="shared" ref="T28" si="15">SUM(T23:T27)</f>
        <v>0</v>
      </c>
      <c r="U28" s="180">
        <f t="shared" ref="U28" si="16">SUM(U23:U27)</f>
        <v>0</v>
      </c>
      <c r="V28" s="180">
        <f t="shared" ref="V28" si="17">SUM(V23:V27)</f>
        <v>0</v>
      </c>
      <c r="W28" s="179">
        <f t="shared" ref="W28" si="18">SUM(W23:W27)</f>
        <v>0</v>
      </c>
      <c r="X28" s="179">
        <f t="shared" ref="X28" si="19">SUM(X23:X27)</f>
        <v>0</v>
      </c>
      <c r="Y28" s="179">
        <f t="shared" ref="Y28" si="20">SUM(Y23:Y27)</f>
        <v>0</v>
      </c>
      <c r="Z28" s="179">
        <f t="shared" ref="Z28" si="21">SUM(Z23:Z27)</f>
        <v>0</v>
      </c>
      <c r="AA28" s="180">
        <f t="shared" ref="AA28" si="22">SUM(AA23:AA27)</f>
        <v>0</v>
      </c>
      <c r="AB28" s="180">
        <f t="shared" ref="AB28" si="23">SUM(AB23:AB27)</f>
        <v>0</v>
      </c>
      <c r="AC28" s="180">
        <f t="shared" ref="AC28" si="24">SUM(AC23:AC27)</f>
        <v>1320301.27</v>
      </c>
      <c r="AD28" s="180">
        <f t="shared" ref="AD28" si="25">SUM(AD23:AD27)</f>
        <v>2631368.2999999998</v>
      </c>
      <c r="AE28" s="179">
        <f t="shared" ref="AE28" si="26">SUM(AE23:AE27)</f>
        <v>23295371.869999997</v>
      </c>
      <c r="AF28" s="179">
        <f t="shared" ref="AF28" si="27">SUM(AF23:AF27)</f>
        <v>35935967.609999992</v>
      </c>
      <c r="AG28" s="179">
        <f t="shared" ref="AG28" si="28">SUM(AG23:AG27)</f>
        <v>37183732.019999996</v>
      </c>
      <c r="AH28" s="179">
        <f t="shared" ref="AH28" si="29">SUM(AH23:AH27)</f>
        <v>29775110.170000002</v>
      </c>
      <c r="AI28" s="180">
        <f t="shared" ref="AI28" si="30">SUM(AI23:AI27)</f>
        <v>29779583.379999999</v>
      </c>
      <c r="AJ28" s="180">
        <f t="shared" ref="AJ28" si="31">SUM(AJ23:AJ27)</f>
        <v>41223484.659999996</v>
      </c>
      <c r="AK28" s="180">
        <f t="shared" ref="AK28" si="32">SUM(AK23:AK27)</f>
        <v>51354211.599999994</v>
      </c>
      <c r="AL28" s="180">
        <f t="shared" ref="AL28" si="33">SUM(AL23:AL27)</f>
        <v>0</v>
      </c>
      <c r="AM28" s="179">
        <f t="shared" ref="AM28" si="34">SUM(AM23:AM27)</f>
        <v>8432750.8906666543</v>
      </c>
      <c r="AN28" s="179">
        <f t="shared" ref="AN28" si="35">SUM(AN23:AN27)</f>
        <v>0</v>
      </c>
      <c r="AO28" s="179">
        <f t="shared" ref="AO28" si="36">SUM(AO23:AO27)</f>
        <v>0</v>
      </c>
      <c r="AP28" s="179">
        <f t="shared" ref="AP28" si="37">SUM(AP23:AP27)</f>
        <v>0</v>
      </c>
      <c r="AQ28" s="180">
        <f t="shared" ref="AQ28" si="38">SUM(AQ23:AQ27)</f>
        <v>0</v>
      </c>
      <c r="AR28" s="180">
        <f t="shared" ref="AR28" si="39">SUM(AR23:AR27)</f>
        <v>0</v>
      </c>
      <c r="AS28" s="180">
        <f t="shared" ref="AS28" si="40">SUM(AS23:AS27)</f>
        <v>0</v>
      </c>
      <c r="AT28" s="180">
        <f t="shared" ref="AT28:BB28" si="41">SUM(AT23:AT27)</f>
        <v>0</v>
      </c>
      <c r="AU28" s="191">
        <f t="shared" si="41"/>
        <v>0</v>
      </c>
      <c r="AV28" s="191">
        <f t="shared" si="41"/>
        <v>0</v>
      </c>
      <c r="AW28" s="191">
        <f t="shared" si="41"/>
        <v>0</v>
      </c>
      <c r="AX28" s="191">
        <f t="shared" si="41"/>
        <v>0</v>
      </c>
      <c r="AY28" s="180">
        <f t="shared" si="41"/>
        <v>0</v>
      </c>
      <c r="AZ28" s="180">
        <f t="shared" si="41"/>
        <v>0</v>
      </c>
      <c r="BA28" s="180">
        <f t="shared" si="41"/>
        <v>0</v>
      </c>
      <c r="BB28" s="180">
        <f t="shared" si="41"/>
        <v>0</v>
      </c>
      <c r="BC28" s="179">
        <f>SUM(BC23:BC27)</f>
        <v>260931881.77066666</v>
      </c>
    </row>
    <row r="30" spans="1:55" x14ac:dyDescent="0.25">
      <c r="A30" s="102" t="s">
        <v>387</v>
      </c>
    </row>
    <row r="31" spans="1:55" x14ac:dyDescent="0.25">
      <c r="A31" s="165"/>
      <c r="B31" s="275"/>
      <c r="C31" s="275"/>
      <c r="D31" s="275"/>
    </row>
    <row r="33" spans="2:4" x14ac:dyDescent="0.25">
      <c r="D33" s="223"/>
    </row>
    <row r="34" spans="2:4" x14ac:dyDescent="0.25">
      <c r="D34" s="223"/>
    </row>
    <row r="37" spans="2:4" x14ac:dyDescent="0.25">
      <c r="B37" s="275"/>
      <c r="C37" s="275"/>
      <c r="D37" s="275"/>
    </row>
    <row r="39" spans="2:4" x14ac:dyDescent="0.25">
      <c r="D39" s="223"/>
    </row>
    <row r="40" spans="2:4" x14ac:dyDescent="0.25">
      <c r="D40" s="223"/>
    </row>
  </sheetData>
  <sheetProtection algorithmName="SHA-512" hashValue="U8Z+tdO7XfYULYFKtxjPhK8U8kkoFd4lW9SK5g7vi8IjpRmqVxnVq3KlDdQOTw0BBFxMHTU0qhdAcR58pZJeiw==" saltValue="M3JkIpv4Cy+gW2uAgz5XeA==" spinCount="100000" sheet="1" objects="1" scenarios="1"/>
  <mergeCells count="2">
    <mergeCell ref="B37:D37"/>
    <mergeCell ref="B31:D31"/>
  </mergeCells>
  <phoneticPr fontId="28"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902A5-B08A-4AB2-B488-64EE18E8F3B0}">
  <dimension ref="A1:K158"/>
  <sheetViews>
    <sheetView topLeftCell="A126" zoomScaleNormal="100" workbookViewId="0">
      <selection activeCell="H61" sqref="H61"/>
    </sheetView>
  </sheetViews>
  <sheetFormatPr defaultColWidth="9.140625" defaultRowHeight="15" x14ac:dyDescent="0.25"/>
  <cols>
    <col min="1" max="1" width="24.28515625" customWidth="1"/>
    <col min="2" max="2" width="40.140625" bestFit="1" customWidth="1"/>
    <col min="3" max="3" width="18.7109375" customWidth="1"/>
    <col min="4" max="4" width="29.140625" customWidth="1"/>
    <col min="5" max="5" width="20.42578125" customWidth="1"/>
    <col min="6" max="17" width="15.7109375" customWidth="1"/>
    <col min="18" max="18" width="9.28515625" bestFit="1" customWidth="1"/>
  </cols>
  <sheetData>
    <row r="1" spans="1:11" s="6" customFormat="1" ht="15.75" x14ac:dyDescent="0.25">
      <c r="A1" s="117" t="s">
        <v>0</v>
      </c>
      <c r="C1" s="5"/>
      <c r="D1" s="5"/>
      <c r="K1" s="26"/>
    </row>
    <row r="2" spans="1:11" s="6" customFormat="1" ht="12.75" x14ac:dyDescent="0.2">
      <c r="A2" s="167" t="str">
        <f>'1. Expenditures'!A2</f>
        <v>Reporting Date: July  31, 2026</v>
      </c>
      <c r="C2" s="5"/>
      <c r="D2" s="5"/>
      <c r="K2" s="26"/>
    </row>
    <row r="3" spans="1:11" s="6" customFormat="1" ht="12.75" x14ac:dyDescent="0.2">
      <c r="A3" s="168" t="str">
        <f>'1. Expenditures'!A3</f>
        <v>Reporting Data Through: June 30, 2026</v>
      </c>
      <c r="C3" s="5"/>
      <c r="D3" s="5"/>
      <c r="K3" s="26"/>
    </row>
    <row r="4" spans="1:11" s="6" customFormat="1" ht="12.75" x14ac:dyDescent="0.2">
      <c r="A4" s="167"/>
      <c r="C4" s="5"/>
      <c r="D4" s="5"/>
      <c r="K4" s="26"/>
    </row>
    <row r="5" spans="1:11" s="6" customFormat="1" ht="12.75" x14ac:dyDescent="0.2"/>
    <row r="6" spans="1:11" ht="15.75" thickBot="1" x14ac:dyDescent="0.3">
      <c r="A6" s="23" t="s">
        <v>234</v>
      </c>
    </row>
    <row r="7" spans="1:11" ht="27" customHeight="1" thickBot="1" x14ac:dyDescent="0.3">
      <c r="A7" s="43" t="s">
        <v>235</v>
      </c>
      <c r="B7" s="43" t="s">
        <v>236</v>
      </c>
      <c r="C7" s="43" t="s">
        <v>237</v>
      </c>
      <c r="D7" s="136" t="s">
        <v>238</v>
      </c>
      <c r="E7" s="156" t="s">
        <v>239</v>
      </c>
    </row>
    <row r="8" spans="1:11" x14ac:dyDescent="0.25">
      <c r="A8" s="208" t="s">
        <v>240</v>
      </c>
      <c r="B8" s="209" t="s">
        <v>241</v>
      </c>
      <c r="C8" s="76">
        <v>1934435</v>
      </c>
      <c r="D8" s="209">
        <v>2016</v>
      </c>
      <c r="E8" s="157">
        <f>C8</f>
        <v>1934435</v>
      </c>
      <c r="F8" s="206"/>
    </row>
    <row r="9" spans="1:11" x14ac:dyDescent="0.25">
      <c r="A9" s="208" t="s">
        <v>240</v>
      </c>
      <c r="B9" s="209" t="s">
        <v>242</v>
      </c>
      <c r="C9" s="76">
        <v>4843456</v>
      </c>
      <c r="D9" s="209">
        <v>2017</v>
      </c>
      <c r="E9" s="157">
        <f>C9</f>
        <v>4843456</v>
      </c>
      <c r="F9" s="206"/>
    </row>
    <row r="10" spans="1:11" x14ac:dyDescent="0.25">
      <c r="A10" s="208" t="s">
        <v>240</v>
      </c>
      <c r="B10" s="209" t="s">
        <v>243</v>
      </c>
      <c r="C10" s="76">
        <v>43700000</v>
      </c>
      <c r="D10" s="209">
        <v>2018</v>
      </c>
      <c r="E10" s="157">
        <f>C10</f>
        <v>43700000</v>
      </c>
      <c r="F10" s="206"/>
    </row>
    <row r="11" spans="1:11" x14ac:dyDescent="0.25">
      <c r="A11" s="208" t="s">
        <v>240</v>
      </c>
      <c r="B11" s="209" t="s">
        <v>244</v>
      </c>
      <c r="C11" s="76">
        <v>37737000</v>
      </c>
      <c r="D11" s="209">
        <v>2019</v>
      </c>
      <c r="E11" s="157">
        <f>C11</f>
        <v>37737000</v>
      </c>
      <c r="F11" s="206"/>
    </row>
    <row r="12" spans="1:11" x14ac:dyDescent="0.25">
      <c r="A12" s="208" t="s">
        <v>240</v>
      </c>
      <c r="B12" s="209" t="s">
        <v>245</v>
      </c>
      <c r="C12" s="76">
        <v>30685041</v>
      </c>
      <c r="D12" s="210" t="s">
        <v>246</v>
      </c>
      <c r="E12" s="158">
        <f>C12</f>
        <v>30685041</v>
      </c>
      <c r="F12" s="206"/>
    </row>
    <row r="13" spans="1:11" x14ac:dyDescent="0.25">
      <c r="A13" s="208" t="s">
        <v>240</v>
      </c>
      <c r="B13" s="209" t="s">
        <v>247</v>
      </c>
      <c r="C13" s="76">
        <v>10117261</v>
      </c>
      <c r="D13" s="245">
        <v>2020</v>
      </c>
      <c r="E13" s="252">
        <f>SUM(C13:C15)</f>
        <v>38776228</v>
      </c>
      <c r="F13" s="206"/>
      <c r="G13" s="9"/>
    </row>
    <row r="14" spans="1:11" x14ac:dyDescent="0.25">
      <c r="A14" s="208" t="s">
        <v>240</v>
      </c>
      <c r="B14" s="209" t="s">
        <v>248</v>
      </c>
      <c r="C14" s="76">
        <v>7795632</v>
      </c>
      <c r="D14" s="246"/>
      <c r="E14" s="250"/>
      <c r="F14" s="206"/>
    </row>
    <row r="15" spans="1:11" x14ac:dyDescent="0.25">
      <c r="A15" s="208" t="s">
        <v>249</v>
      </c>
      <c r="B15" s="209" t="s">
        <v>250</v>
      </c>
      <c r="C15" s="159">
        <v>20863335</v>
      </c>
      <c r="D15" s="247"/>
      <c r="E15" s="253"/>
      <c r="F15" s="206"/>
    </row>
    <row r="16" spans="1:11" x14ac:dyDescent="0.25">
      <c r="A16" s="208" t="s">
        <v>249</v>
      </c>
      <c r="B16" s="209" t="s">
        <v>245</v>
      </c>
      <c r="C16" s="159">
        <v>4448942</v>
      </c>
      <c r="D16" s="210" t="s">
        <v>246</v>
      </c>
      <c r="E16" s="158">
        <f>C16</f>
        <v>4448942</v>
      </c>
      <c r="F16" s="206"/>
    </row>
    <row r="17" spans="1:7" x14ac:dyDescent="0.25">
      <c r="A17" s="208" t="s">
        <v>249</v>
      </c>
      <c r="B17" s="209" t="s">
        <v>251</v>
      </c>
      <c r="C17" s="159">
        <v>7902300</v>
      </c>
      <c r="D17" s="245">
        <v>2021</v>
      </c>
      <c r="E17" s="268">
        <f>SUM(C17:C20)</f>
        <v>31609200</v>
      </c>
      <c r="F17" s="206"/>
      <c r="G17" s="9"/>
    </row>
    <row r="18" spans="1:7" x14ac:dyDescent="0.25">
      <c r="A18" s="208" t="s">
        <v>249</v>
      </c>
      <c r="B18" s="209" t="s">
        <v>252</v>
      </c>
      <c r="C18" s="159">
        <v>7902300</v>
      </c>
      <c r="D18" s="246"/>
      <c r="E18" s="268"/>
      <c r="F18" s="206"/>
    </row>
    <row r="19" spans="1:7" x14ac:dyDescent="0.25">
      <c r="A19" s="208" t="s">
        <v>249</v>
      </c>
      <c r="B19" s="209" t="s">
        <v>253</v>
      </c>
      <c r="C19" s="159">
        <v>7902300</v>
      </c>
      <c r="D19" s="246"/>
      <c r="E19" s="268"/>
      <c r="F19" s="206"/>
    </row>
    <row r="20" spans="1:7" x14ac:dyDescent="0.25">
      <c r="A20" s="208" t="s">
        <v>249</v>
      </c>
      <c r="B20" s="212" t="s">
        <v>254</v>
      </c>
      <c r="C20" s="172">
        <v>7902300</v>
      </c>
      <c r="D20" s="247"/>
      <c r="E20" s="268"/>
      <c r="F20" s="206"/>
    </row>
    <row r="21" spans="1:7" x14ac:dyDescent="0.25">
      <c r="A21" s="208" t="s">
        <v>255</v>
      </c>
      <c r="B21" s="212" t="s">
        <v>256</v>
      </c>
      <c r="C21" s="172">
        <v>-186832</v>
      </c>
      <c r="D21" s="254">
        <v>2022</v>
      </c>
      <c r="E21" s="261">
        <f>SUM(C21:C25)</f>
        <v>46222340</v>
      </c>
      <c r="F21" s="206"/>
    </row>
    <row r="22" spans="1:7" x14ac:dyDescent="0.25">
      <c r="A22" s="208" t="s">
        <v>255</v>
      </c>
      <c r="B22" s="209" t="s">
        <v>299</v>
      </c>
      <c r="C22" s="172">
        <v>11602293</v>
      </c>
      <c r="D22" s="254"/>
      <c r="E22" s="261"/>
      <c r="F22" s="206"/>
      <c r="G22" s="9"/>
    </row>
    <row r="23" spans="1:7" x14ac:dyDescent="0.25">
      <c r="A23" s="208" t="s">
        <v>255</v>
      </c>
      <c r="B23" s="209" t="s">
        <v>258</v>
      </c>
      <c r="C23" s="172">
        <v>11602293</v>
      </c>
      <c r="D23" s="254"/>
      <c r="E23" s="261"/>
      <c r="F23" s="206"/>
    </row>
    <row r="24" spans="1:7" x14ac:dyDescent="0.25">
      <c r="A24" s="209" t="s">
        <v>255</v>
      </c>
      <c r="B24" s="214" t="s">
        <v>259</v>
      </c>
      <c r="C24" s="172">
        <v>11602293</v>
      </c>
      <c r="D24" s="254"/>
      <c r="E24" s="261"/>
      <c r="F24" s="206"/>
    </row>
    <row r="25" spans="1:7" x14ac:dyDescent="0.25">
      <c r="A25" s="209" t="s">
        <v>255</v>
      </c>
      <c r="B25" s="215" t="s">
        <v>260</v>
      </c>
      <c r="C25" s="172">
        <v>11602293</v>
      </c>
      <c r="D25" s="254"/>
      <c r="E25" s="261"/>
      <c r="F25" s="206"/>
    </row>
    <row r="26" spans="1:7" x14ac:dyDescent="0.25">
      <c r="A26" s="209" t="s">
        <v>352</v>
      </c>
      <c r="B26" s="215" t="s">
        <v>308</v>
      </c>
      <c r="C26" s="172">
        <v>2909317</v>
      </c>
      <c r="D26" s="245">
        <v>2023</v>
      </c>
      <c r="E26" s="261">
        <f>SUM(C26:C30)</f>
        <v>42666697</v>
      </c>
      <c r="F26" s="207"/>
    </row>
    <row r="27" spans="1:7" x14ac:dyDescent="0.25">
      <c r="A27" s="209" t="s">
        <v>309</v>
      </c>
      <c r="B27" s="214" t="s">
        <v>304</v>
      </c>
      <c r="C27" s="172">
        <v>9939345</v>
      </c>
      <c r="D27" s="246"/>
      <c r="E27" s="261"/>
      <c r="F27" s="207"/>
    </row>
    <row r="28" spans="1:7" x14ac:dyDescent="0.25">
      <c r="A28" s="209" t="s">
        <v>309</v>
      </c>
      <c r="B28" s="214" t="s">
        <v>305</v>
      </c>
      <c r="C28" s="172">
        <v>9939345</v>
      </c>
      <c r="D28" s="246"/>
      <c r="E28" s="261"/>
      <c r="F28" s="207"/>
    </row>
    <row r="29" spans="1:7" x14ac:dyDescent="0.25">
      <c r="A29" s="209" t="s">
        <v>309</v>
      </c>
      <c r="B29" s="214" t="s">
        <v>306</v>
      </c>
      <c r="C29" s="172">
        <v>9939345</v>
      </c>
      <c r="D29" s="246"/>
      <c r="E29" s="261"/>
      <c r="F29" s="207"/>
    </row>
    <row r="30" spans="1:7" x14ac:dyDescent="0.25">
      <c r="A30" s="212" t="s">
        <v>309</v>
      </c>
      <c r="B30" s="212" t="s">
        <v>307</v>
      </c>
      <c r="C30" s="183">
        <v>9939345</v>
      </c>
      <c r="D30" s="247"/>
      <c r="E30" s="252"/>
      <c r="F30" s="207"/>
    </row>
    <row r="31" spans="1:7" x14ac:dyDescent="0.25">
      <c r="A31" s="212" t="s">
        <v>374</v>
      </c>
      <c r="B31" s="212" t="s">
        <v>314</v>
      </c>
      <c r="C31" s="183">
        <v>-11592609</v>
      </c>
      <c r="D31" s="245">
        <v>2024</v>
      </c>
      <c r="E31" s="252">
        <f>SUM(C31:C35)</f>
        <v>28164771</v>
      </c>
      <c r="F31" s="207"/>
    </row>
    <row r="32" spans="1:7" x14ac:dyDescent="0.25">
      <c r="A32" s="212" t="s">
        <v>374</v>
      </c>
      <c r="B32" s="212" t="s">
        <v>315</v>
      </c>
      <c r="C32" s="183">
        <v>9939345</v>
      </c>
      <c r="D32" s="246"/>
      <c r="E32" s="250"/>
      <c r="F32" s="207"/>
    </row>
    <row r="33" spans="1:7" x14ac:dyDescent="0.25">
      <c r="A33" s="212" t="s">
        <v>374</v>
      </c>
      <c r="B33" s="212" t="s">
        <v>316</v>
      </c>
      <c r="C33" s="183">
        <v>9939345</v>
      </c>
      <c r="D33" s="246"/>
      <c r="E33" s="250"/>
      <c r="F33" s="207"/>
    </row>
    <row r="34" spans="1:7" x14ac:dyDescent="0.25">
      <c r="A34" s="212" t="s">
        <v>374</v>
      </c>
      <c r="B34" s="212" t="s">
        <v>341</v>
      </c>
      <c r="C34" s="183">
        <v>9939345</v>
      </c>
      <c r="D34" s="246"/>
      <c r="E34" s="250"/>
      <c r="F34" s="207"/>
    </row>
    <row r="35" spans="1:7" x14ac:dyDescent="0.25">
      <c r="A35" s="212" t="s">
        <v>374</v>
      </c>
      <c r="B35" s="212" t="s">
        <v>342</v>
      </c>
      <c r="C35" s="183">
        <v>9939345</v>
      </c>
      <c r="D35" s="247"/>
      <c r="E35" s="253"/>
      <c r="F35" s="207"/>
    </row>
    <row r="36" spans="1:7" x14ac:dyDescent="0.25">
      <c r="A36" s="209" t="s">
        <v>375</v>
      </c>
      <c r="B36" s="209" t="s">
        <v>353</v>
      </c>
      <c r="C36" s="200">
        <v>-5131012</v>
      </c>
      <c r="D36" s="245">
        <v>2025</v>
      </c>
      <c r="E36" s="265">
        <f>SUM(C36:C40)</f>
        <v>34626368</v>
      </c>
    </row>
    <row r="37" spans="1:7" x14ac:dyDescent="0.25">
      <c r="A37" s="209" t="s">
        <v>375</v>
      </c>
      <c r="B37" s="209" t="s">
        <v>354</v>
      </c>
      <c r="C37" s="200">
        <v>9939345</v>
      </c>
      <c r="D37" s="246"/>
      <c r="E37" s="266"/>
    </row>
    <row r="38" spans="1:7" x14ac:dyDescent="0.25">
      <c r="A38" s="209" t="s">
        <v>375</v>
      </c>
      <c r="B38" s="209" t="s">
        <v>355</v>
      </c>
      <c r="C38" s="200">
        <v>9939345</v>
      </c>
      <c r="D38" s="246"/>
      <c r="E38" s="266"/>
    </row>
    <row r="39" spans="1:7" x14ac:dyDescent="0.25">
      <c r="A39" s="209" t="s">
        <v>375</v>
      </c>
      <c r="B39" s="209" t="s">
        <v>369</v>
      </c>
      <c r="C39" s="220">
        <v>9939345</v>
      </c>
      <c r="D39" s="246"/>
      <c r="E39" s="266"/>
    </row>
    <row r="40" spans="1:7" x14ac:dyDescent="0.25">
      <c r="A40" s="208" t="s">
        <v>375</v>
      </c>
      <c r="B40" s="209" t="s">
        <v>371</v>
      </c>
      <c r="C40" s="172">
        <v>9939345</v>
      </c>
      <c r="D40" s="247"/>
      <c r="E40" s="267"/>
    </row>
    <row r="41" spans="1:7" x14ac:dyDescent="0.25">
      <c r="A41" s="208" t="s">
        <v>378</v>
      </c>
      <c r="B41" s="208" t="s">
        <v>379</v>
      </c>
      <c r="C41" s="159">
        <v>4682558</v>
      </c>
      <c r="D41" s="269">
        <v>2026</v>
      </c>
      <c r="E41" s="253">
        <f>SUM(C41:C43)</f>
        <v>24561248</v>
      </c>
    </row>
    <row r="42" spans="1:7" x14ac:dyDescent="0.25">
      <c r="A42" s="209" t="s">
        <v>378</v>
      </c>
      <c r="B42" s="209" t="s">
        <v>380</v>
      </c>
      <c r="C42" s="172">
        <v>9939345</v>
      </c>
      <c r="D42" s="269"/>
      <c r="E42" s="261"/>
    </row>
    <row r="43" spans="1:7" ht="15.75" thickBot="1" x14ac:dyDescent="0.3">
      <c r="A43" s="216" t="s">
        <v>378</v>
      </c>
      <c r="B43" s="216" t="s">
        <v>381</v>
      </c>
      <c r="C43" s="193">
        <v>9939345</v>
      </c>
      <c r="D43" s="270"/>
      <c r="E43" s="271"/>
    </row>
    <row r="44" spans="1:7" ht="15.75" thickBot="1" x14ac:dyDescent="0.3">
      <c r="A44" s="217"/>
      <c r="B44" s="218"/>
      <c r="C44" s="218"/>
      <c r="D44" s="219" t="s">
        <v>261</v>
      </c>
      <c r="E44" s="244">
        <f>SUM(E8:E43)</f>
        <v>369975726</v>
      </c>
    </row>
    <row r="45" spans="1:7" x14ac:dyDescent="0.25">
      <c r="A45" s="161" t="s">
        <v>262</v>
      </c>
    </row>
    <row r="46" spans="1:7" x14ac:dyDescent="0.25">
      <c r="A46" s="161" t="s">
        <v>263</v>
      </c>
      <c r="F46" s="207"/>
      <c r="G46" s="207"/>
    </row>
    <row r="47" spans="1:7" x14ac:dyDescent="0.25">
      <c r="A47" s="161" t="s">
        <v>264</v>
      </c>
      <c r="F47" s="207"/>
      <c r="G47" s="207"/>
    </row>
    <row r="48" spans="1:7" x14ac:dyDescent="0.25">
      <c r="F48" s="207"/>
      <c r="G48" s="207"/>
    </row>
    <row r="49" spans="1:7" ht="15.75" thickBot="1" x14ac:dyDescent="0.3">
      <c r="A49" s="23" t="s">
        <v>265</v>
      </c>
      <c r="D49" s="23"/>
      <c r="F49" s="207"/>
      <c r="G49" s="207"/>
    </row>
    <row r="50" spans="1:7" ht="26.25" thickBot="1" x14ac:dyDescent="0.3">
      <c r="A50" s="43"/>
      <c r="B50" s="43" t="s">
        <v>236</v>
      </c>
      <c r="C50" s="43" t="s">
        <v>237</v>
      </c>
      <c r="D50" s="136" t="s">
        <v>238</v>
      </c>
      <c r="E50" s="156" t="s">
        <v>239</v>
      </c>
      <c r="F50" s="207"/>
      <c r="G50" s="207"/>
    </row>
    <row r="51" spans="1:7" x14ac:dyDescent="0.25">
      <c r="A51" s="208" t="s">
        <v>317</v>
      </c>
      <c r="B51" s="209" t="s">
        <v>241</v>
      </c>
      <c r="C51" s="76">
        <v>3036945</v>
      </c>
      <c r="D51" s="209">
        <v>2016</v>
      </c>
      <c r="E51" s="157">
        <f>C51</f>
        <v>3036945</v>
      </c>
      <c r="F51" s="207"/>
      <c r="G51" s="207"/>
    </row>
    <row r="52" spans="1:7" x14ac:dyDescent="0.25">
      <c r="A52" s="208" t="s">
        <v>318</v>
      </c>
      <c r="B52" s="209" t="s">
        <v>242</v>
      </c>
      <c r="C52" s="77">
        <v>5040055</v>
      </c>
      <c r="D52" s="209">
        <v>2017</v>
      </c>
      <c r="E52" s="157">
        <f>C52</f>
        <v>5040055</v>
      </c>
      <c r="F52" s="207"/>
    </row>
    <row r="53" spans="1:7" x14ac:dyDescent="0.25">
      <c r="A53" s="208" t="s">
        <v>319</v>
      </c>
      <c r="B53" s="209" t="s">
        <v>243</v>
      </c>
      <c r="C53" s="77">
        <v>46000000</v>
      </c>
      <c r="D53" s="209">
        <v>2018</v>
      </c>
      <c r="E53" s="157">
        <f>C53</f>
        <v>46000000</v>
      </c>
      <c r="F53" s="207"/>
    </row>
    <row r="54" spans="1:7" x14ac:dyDescent="0.25">
      <c r="A54" s="208" t="s">
        <v>320</v>
      </c>
      <c r="B54" s="161" t="s">
        <v>321</v>
      </c>
      <c r="C54" s="77">
        <v>-6874217</v>
      </c>
      <c r="D54" s="245">
        <v>2019</v>
      </c>
      <c r="E54" s="252">
        <f>SUM(C54:C55)</f>
        <v>33979418</v>
      </c>
      <c r="F54" s="207"/>
    </row>
    <row r="55" spans="1:7" x14ac:dyDescent="0.25">
      <c r="A55" s="208" t="s">
        <v>320</v>
      </c>
      <c r="B55" s="209" t="s">
        <v>244</v>
      </c>
      <c r="C55" s="77">
        <v>40853635</v>
      </c>
      <c r="D55" s="247"/>
      <c r="E55" s="253"/>
      <c r="F55" s="207"/>
    </row>
    <row r="56" spans="1:7" x14ac:dyDescent="0.25">
      <c r="A56" s="208" t="s">
        <v>266</v>
      </c>
      <c r="B56" s="209" t="s">
        <v>245</v>
      </c>
      <c r="C56" s="76">
        <v>50602879</v>
      </c>
      <c r="D56" s="210" t="s">
        <v>246</v>
      </c>
      <c r="E56" s="158">
        <f>C56</f>
        <v>50602879</v>
      </c>
      <c r="F56" s="207"/>
    </row>
    <row r="57" spans="1:7" x14ac:dyDescent="0.25">
      <c r="A57" s="208" t="s">
        <v>266</v>
      </c>
      <c r="B57" s="209" t="s">
        <v>267</v>
      </c>
      <c r="C57" s="76">
        <v>22678768</v>
      </c>
      <c r="D57" s="211">
        <v>2020</v>
      </c>
      <c r="E57" s="182">
        <f>SUM(C57:C57)</f>
        <v>22678768</v>
      </c>
      <c r="F57" s="207"/>
    </row>
    <row r="58" spans="1:7" x14ac:dyDescent="0.25">
      <c r="A58" s="162" t="s">
        <v>313</v>
      </c>
      <c r="B58" s="162" t="s">
        <v>322</v>
      </c>
      <c r="C58" s="172">
        <v>19290585</v>
      </c>
      <c r="D58" s="245">
        <v>2021</v>
      </c>
      <c r="E58" s="252">
        <f>SUM(C58:C59)</f>
        <v>63966285</v>
      </c>
      <c r="F58" s="207"/>
    </row>
    <row r="59" spans="1:7" x14ac:dyDescent="0.25">
      <c r="A59" s="209" t="s">
        <v>313</v>
      </c>
      <c r="B59" s="209" t="s">
        <v>268</v>
      </c>
      <c r="C59" s="172">
        <v>44675700</v>
      </c>
      <c r="D59" s="247"/>
      <c r="E59" s="253"/>
      <c r="F59" s="207"/>
    </row>
    <row r="60" spans="1:7" x14ac:dyDescent="0.25">
      <c r="A60" s="212" t="s">
        <v>269</v>
      </c>
      <c r="B60" s="212" t="s">
        <v>270</v>
      </c>
      <c r="C60" s="172">
        <v>8291433</v>
      </c>
      <c r="D60" s="245">
        <v>2022</v>
      </c>
      <c r="E60" s="252">
        <f>SUM(C60:C61)</f>
        <v>73364564</v>
      </c>
      <c r="F60" s="207"/>
    </row>
    <row r="61" spans="1:7" x14ac:dyDescent="0.25">
      <c r="A61" s="209" t="s">
        <v>269</v>
      </c>
      <c r="B61" s="209" t="s">
        <v>271</v>
      </c>
      <c r="C61" s="172">
        <v>65073131</v>
      </c>
      <c r="D61" s="247"/>
      <c r="E61" s="253"/>
      <c r="F61" s="207"/>
    </row>
    <row r="62" spans="1:7" x14ac:dyDescent="0.25">
      <c r="A62" s="209" t="s">
        <v>310</v>
      </c>
      <c r="B62" s="209" t="s">
        <v>311</v>
      </c>
      <c r="C62" s="172">
        <v>46527856</v>
      </c>
      <c r="D62" s="245">
        <v>2023</v>
      </c>
      <c r="E62" s="268">
        <f>SUM(C62:C63)</f>
        <v>48710716</v>
      </c>
      <c r="F62" s="207"/>
    </row>
    <row r="63" spans="1:7" x14ac:dyDescent="0.25">
      <c r="A63" s="209" t="s">
        <v>310</v>
      </c>
      <c r="B63" s="209" t="s">
        <v>323</v>
      </c>
      <c r="C63" s="172">
        <v>2182860</v>
      </c>
      <c r="D63" s="247"/>
      <c r="E63" s="268"/>
      <c r="F63" s="207"/>
    </row>
    <row r="64" spans="1:7" x14ac:dyDescent="0.25">
      <c r="A64" s="209" t="s">
        <v>324</v>
      </c>
      <c r="B64" s="209" t="s">
        <v>356</v>
      </c>
      <c r="C64" s="172">
        <v>-18592218</v>
      </c>
      <c r="D64" s="245">
        <v>2024</v>
      </c>
      <c r="E64" s="272">
        <f>SUM(C64:C65)</f>
        <v>27935638</v>
      </c>
      <c r="F64" s="207"/>
    </row>
    <row r="65" spans="1:8" x14ac:dyDescent="0.25">
      <c r="A65" s="209" t="s">
        <v>324</v>
      </c>
      <c r="B65" s="209" t="s">
        <v>325</v>
      </c>
      <c r="C65" s="172">
        <v>46527856</v>
      </c>
      <c r="D65" s="247"/>
      <c r="E65" s="272"/>
      <c r="F65" s="207"/>
    </row>
    <row r="66" spans="1:8" x14ac:dyDescent="0.25">
      <c r="A66" s="209" t="s">
        <v>357</v>
      </c>
      <c r="B66" s="209" t="s">
        <v>358</v>
      </c>
      <c r="C66" s="172">
        <v>3681000</v>
      </c>
      <c r="D66" s="263">
        <v>2025</v>
      </c>
      <c r="E66" s="261">
        <f>SUM(C66:C67)</f>
        <v>50209000</v>
      </c>
      <c r="F66" s="207"/>
    </row>
    <row r="67" spans="1:8" x14ac:dyDescent="0.25">
      <c r="A67" s="209" t="s">
        <v>357</v>
      </c>
      <c r="B67" s="209" t="s">
        <v>359</v>
      </c>
      <c r="C67" s="172">
        <v>46528000</v>
      </c>
      <c r="D67" s="264"/>
      <c r="E67" s="261"/>
    </row>
    <row r="68" spans="1:8" x14ac:dyDescent="0.25">
      <c r="A68" s="208" t="s">
        <v>382</v>
      </c>
      <c r="B68" s="208" t="s">
        <v>383</v>
      </c>
      <c r="C68" s="159">
        <v>3327997</v>
      </c>
      <c r="D68" s="246">
        <v>2026</v>
      </c>
      <c r="E68" s="250">
        <f>SUM(C68,C69)</f>
        <v>26591997</v>
      </c>
    </row>
    <row r="69" spans="1:8" ht="15.75" thickBot="1" x14ac:dyDescent="0.3">
      <c r="A69" s="216" t="s">
        <v>382</v>
      </c>
      <c r="B69" s="216" t="s">
        <v>384</v>
      </c>
      <c r="C69" s="193">
        <v>23264000</v>
      </c>
      <c r="D69" s="249"/>
      <c r="E69" s="251"/>
    </row>
    <row r="70" spans="1:8" ht="15.75" thickBot="1" x14ac:dyDescent="0.3">
      <c r="A70" s="185"/>
      <c r="B70" s="178"/>
      <c r="C70" s="178"/>
      <c r="D70" s="160" t="s">
        <v>272</v>
      </c>
      <c r="E70" s="244">
        <f>SUM(E51:E69)</f>
        <v>452116265</v>
      </c>
      <c r="F70" s="206"/>
    </row>
    <row r="71" spans="1:8" x14ac:dyDescent="0.25">
      <c r="A71" s="162" t="s">
        <v>273</v>
      </c>
      <c r="F71" s="206"/>
    </row>
    <row r="72" spans="1:8" x14ac:dyDescent="0.25">
      <c r="A72" s="161" t="s">
        <v>274</v>
      </c>
      <c r="F72" s="206"/>
    </row>
    <row r="73" spans="1:8" x14ac:dyDescent="0.25">
      <c r="A73" s="161" t="s">
        <v>275</v>
      </c>
      <c r="F73" s="206"/>
      <c r="G73" s="9"/>
      <c r="H73" s="9"/>
    </row>
    <row r="74" spans="1:8" x14ac:dyDescent="0.25">
      <c r="F74" s="206"/>
    </row>
    <row r="75" spans="1:8" ht="15.75" thickBot="1" x14ac:dyDescent="0.3">
      <c r="A75" s="23" t="s">
        <v>276</v>
      </c>
      <c r="D75" s="23"/>
      <c r="F75" s="206"/>
      <c r="G75" s="9"/>
    </row>
    <row r="76" spans="1:8" ht="26.25" thickBot="1" x14ac:dyDescent="0.3">
      <c r="A76" s="43"/>
      <c r="B76" s="43" t="s">
        <v>236</v>
      </c>
      <c r="C76" s="43" t="s">
        <v>237</v>
      </c>
      <c r="D76" s="136" t="s">
        <v>238</v>
      </c>
      <c r="E76" s="156" t="s">
        <v>239</v>
      </c>
      <c r="F76" s="206"/>
    </row>
    <row r="77" spans="1:8" x14ac:dyDescent="0.25">
      <c r="A77" s="208" t="s">
        <v>277</v>
      </c>
      <c r="B77" s="209" t="s">
        <v>241</v>
      </c>
      <c r="C77" s="76">
        <v>0</v>
      </c>
      <c r="D77" s="209">
        <v>2016</v>
      </c>
      <c r="E77" s="157">
        <f>C77</f>
        <v>0</v>
      </c>
      <c r="F77" s="206"/>
      <c r="G77" s="9"/>
    </row>
    <row r="78" spans="1:8" x14ac:dyDescent="0.25">
      <c r="A78" s="208" t="s">
        <v>277</v>
      </c>
      <c r="B78" s="209" t="s">
        <v>242</v>
      </c>
      <c r="C78" s="77">
        <v>0</v>
      </c>
      <c r="D78" s="209">
        <v>2017</v>
      </c>
      <c r="E78" s="157">
        <f>C78</f>
        <v>0</v>
      </c>
      <c r="F78" s="206"/>
    </row>
    <row r="79" spans="1:8" x14ac:dyDescent="0.25">
      <c r="A79" s="208" t="s">
        <v>326</v>
      </c>
      <c r="B79" s="209" t="s">
        <v>243</v>
      </c>
      <c r="C79" s="77">
        <v>10300000</v>
      </c>
      <c r="D79" s="209">
        <v>2018</v>
      </c>
      <c r="E79" s="157">
        <f>C79</f>
        <v>10300000</v>
      </c>
      <c r="F79" s="206"/>
    </row>
    <row r="80" spans="1:8" x14ac:dyDescent="0.25">
      <c r="A80" s="208" t="s">
        <v>327</v>
      </c>
      <c r="B80" s="209" t="s">
        <v>244</v>
      </c>
      <c r="C80" s="76">
        <v>10115640</v>
      </c>
      <c r="D80" s="209">
        <v>2019</v>
      </c>
      <c r="E80" s="157">
        <f>C80</f>
        <v>10115640</v>
      </c>
      <c r="F80" s="206"/>
    </row>
    <row r="81" spans="1:7" x14ac:dyDescent="0.25">
      <c r="A81" s="208" t="s">
        <v>277</v>
      </c>
      <c r="B81" s="209" t="s">
        <v>245</v>
      </c>
      <c r="C81" s="76">
        <v>12604205</v>
      </c>
      <c r="D81" s="210" t="s">
        <v>246</v>
      </c>
      <c r="E81" s="158">
        <f>C81</f>
        <v>12604205</v>
      </c>
      <c r="F81" s="206"/>
    </row>
    <row r="82" spans="1:7" x14ac:dyDescent="0.25">
      <c r="A82" s="208" t="s">
        <v>277</v>
      </c>
      <c r="B82" s="209" t="s">
        <v>267</v>
      </c>
      <c r="C82" s="76">
        <v>5618639</v>
      </c>
      <c r="D82" s="245">
        <v>2020</v>
      </c>
      <c r="E82" s="252">
        <f>SUM(C82:C83)</f>
        <v>11438841</v>
      </c>
      <c r="F82" s="206"/>
    </row>
    <row r="83" spans="1:7" x14ac:dyDescent="0.25">
      <c r="A83" s="208" t="s">
        <v>278</v>
      </c>
      <c r="B83" s="209" t="s">
        <v>250</v>
      </c>
      <c r="C83" s="159">
        <v>5820202</v>
      </c>
      <c r="D83" s="247"/>
      <c r="E83" s="253"/>
      <c r="F83" s="206"/>
    </row>
    <row r="84" spans="1:7" x14ac:dyDescent="0.25">
      <c r="A84" s="221" t="s">
        <v>278</v>
      </c>
      <c r="B84" s="209" t="s">
        <v>279</v>
      </c>
      <c r="C84" s="172">
        <v>100486</v>
      </c>
      <c r="D84" s="254">
        <v>2021</v>
      </c>
      <c r="E84" s="261">
        <f>SUM(C84:C86)</f>
        <v>10923507</v>
      </c>
      <c r="G84" s="9"/>
    </row>
    <row r="85" spans="1:7" x14ac:dyDescent="0.25">
      <c r="A85" s="209" t="s">
        <v>278</v>
      </c>
      <c r="B85" s="209" t="s">
        <v>280</v>
      </c>
      <c r="C85" s="172">
        <v>-760623</v>
      </c>
      <c r="D85" s="254"/>
      <c r="E85" s="261"/>
    </row>
    <row r="86" spans="1:7" x14ac:dyDescent="0.25">
      <c r="A86" s="209" t="s">
        <v>278</v>
      </c>
      <c r="B86" s="209" t="s">
        <v>268</v>
      </c>
      <c r="C86" s="172">
        <v>11583644</v>
      </c>
      <c r="D86" s="254"/>
      <c r="E86" s="261"/>
    </row>
    <row r="87" spans="1:7" x14ac:dyDescent="0.25">
      <c r="A87" s="209" t="s">
        <v>281</v>
      </c>
      <c r="B87" s="209" t="s">
        <v>328</v>
      </c>
      <c r="C87" s="172">
        <v>-209026</v>
      </c>
      <c r="D87" s="254">
        <v>2022</v>
      </c>
      <c r="E87" s="261">
        <f>SUM(C87:C88)</f>
        <v>20583076</v>
      </c>
    </row>
    <row r="88" spans="1:7" x14ac:dyDescent="0.25">
      <c r="A88" s="209" t="s">
        <v>281</v>
      </c>
      <c r="B88" s="209" t="s">
        <v>271</v>
      </c>
      <c r="C88" s="172">
        <f>19440352+1351750</f>
        <v>20792102</v>
      </c>
      <c r="D88" s="254">
        <v>2022</v>
      </c>
      <c r="E88" s="261"/>
    </row>
    <row r="89" spans="1:7" x14ac:dyDescent="0.25">
      <c r="A89" s="209" t="s">
        <v>312</v>
      </c>
      <c r="B89" s="209" t="s">
        <v>308</v>
      </c>
      <c r="C89" s="172">
        <v>2933967</v>
      </c>
      <c r="D89" s="254">
        <v>2023</v>
      </c>
      <c r="E89" s="261">
        <f>SUM(C89:C90)</f>
        <v>14949939</v>
      </c>
    </row>
    <row r="90" spans="1:7" x14ac:dyDescent="0.25">
      <c r="A90" s="209" t="s">
        <v>312</v>
      </c>
      <c r="B90" s="209" t="s">
        <v>311</v>
      </c>
      <c r="C90" s="183">
        <v>12015972</v>
      </c>
      <c r="D90" s="245"/>
      <c r="E90" s="261"/>
    </row>
    <row r="91" spans="1:7" x14ac:dyDescent="0.25">
      <c r="A91" s="209" t="s">
        <v>360</v>
      </c>
      <c r="B91" s="209" t="s">
        <v>361</v>
      </c>
      <c r="C91" s="200">
        <v>-7242206</v>
      </c>
      <c r="D91" s="254">
        <v>2024</v>
      </c>
      <c r="E91" s="262">
        <f>SUM(C91:C92)</f>
        <v>4773766</v>
      </c>
      <c r="F91" s="206"/>
    </row>
    <row r="92" spans="1:7" x14ac:dyDescent="0.25">
      <c r="A92" s="212" t="s">
        <v>343</v>
      </c>
      <c r="B92" s="212" t="s">
        <v>325</v>
      </c>
      <c r="C92" s="201">
        <v>12015972</v>
      </c>
      <c r="D92" s="254"/>
      <c r="E92" s="262"/>
      <c r="F92" s="206"/>
    </row>
    <row r="93" spans="1:7" x14ac:dyDescent="0.25">
      <c r="A93" s="209" t="s">
        <v>360</v>
      </c>
      <c r="B93" s="209" t="s">
        <v>353</v>
      </c>
      <c r="C93" s="200">
        <v>1614663</v>
      </c>
      <c r="D93" s="254">
        <v>2025</v>
      </c>
      <c r="E93" s="261">
        <f>SUM(C93:C94)</f>
        <v>13630635</v>
      </c>
      <c r="F93" s="206"/>
    </row>
    <row r="94" spans="1:7" x14ac:dyDescent="0.25">
      <c r="A94" s="209" t="s">
        <v>360</v>
      </c>
      <c r="B94" s="209" t="s">
        <v>359</v>
      </c>
      <c r="C94" s="200">
        <v>12015972</v>
      </c>
      <c r="D94" s="254"/>
      <c r="E94" s="261"/>
      <c r="F94" s="206"/>
    </row>
    <row r="95" spans="1:7" x14ac:dyDescent="0.25">
      <c r="A95" s="208" t="s">
        <v>385</v>
      </c>
      <c r="B95" s="208" t="s">
        <v>379</v>
      </c>
      <c r="C95" s="159">
        <v>1583922</v>
      </c>
      <c r="D95" s="246">
        <v>2026</v>
      </c>
      <c r="E95" s="250">
        <f>SUM(C95,C96)</f>
        <v>7591908</v>
      </c>
      <c r="F95" s="206"/>
    </row>
    <row r="96" spans="1:7" ht="15.75" thickBot="1" x14ac:dyDescent="0.3">
      <c r="A96" s="216" t="s">
        <v>385</v>
      </c>
      <c r="B96" s="216" t="s">
        <v>384</v>
      </c>
      <c r="C96" s="193">
        <v>6007986</v>
      </c>
      <c r="D96" s="249"/>
      <c r="E96" s="251"/>
      <c r="F96" s="206"/>
    </row>
    <row r="97" spans="1:6" ht="15.75" thickBot="1" x14ac:dyDescent="0.3">
      <c r="A97" s="185"/>
      <c r="B97" s="178"/>
      <c r="C97" s="178"/>
      <c r="D97" s="192" t="s">
        <v>282</v>
      </c>
      <c r="E97" s="244">
        <f>SUM(E77:E96)</f>
        <v>116911517</v>
      </c>
      <c r="F97" s="206"/>
    </row>
    <row r="98" spans="1:6" x14ac:dyDescent="0.25">
      <c r="A98" s="162" t="s">
        <v>283</v>
      </c>
      <c r="F98" s="206"/>
    </row>
    <row r="99" spans="1:6" x14ac:dyDescent="0.25">
      <c r="A99" s="161" t="s">
        <v>284</v>
      </c>
      <c r="F99" s="206"/>
    </row>
    <row r="100" spans="1:6" x14ac:dyDescent="0.25">
      <c r="A100" s="161" t="s">
        <v>285</v>
      </c>
      <c r="F100" s="206"/>
    </row>
    <row r="101" spans="1:6" x14ac:dyDescent="0.25">
      <c r="A101" s="161" t="s">
        <v>370</v>
      </c>
      <c r="F101" s="206"/>
    </row>
    <row r="102" spans="1:6" x14ac:dyDescent="0.25">
      <c r="F102" s="206"/>
    </row>
    <row r="103" spans="1:6" ht="15.75" thickBot="1" x14ac:dyDescent="0.3">
      <c r="A103" s="23" t="s">
        <v>372</v>
      </c>
      <c r="D103" s="23"/>
      <c r="F103" s="206"/>
    </row>
    <row r="104" spans="1:6" ht="26.25" thickBot="1" x14ac:dyDescent="0.3">
      <c r="A104" s="43"/>
      <c r="B104" s="43" t="s">
        <v>236</v>
      </c>
      <c r="C104" s="43" t="s">
        <v>237</v>
      </c>
      <c r="D104" s="136" t="s">
        <v>286</v>
      </c>
      <c r="E104" s="156" t="s">
        <v>239</v>
      </c>
      <c r="F104" s="206"/>
    </row>
    <row r="105" spans="1:6" x14ac:dyDescent="0.25">
      <c r="A105" s="208" t="s">
        <v>287</v>
      </c>
      <c r="B105" s="209" t="s">
        <v>241</v>
      </c>
      <c r="C105" s="76">
        <v>469381</v>
      </c>
      <c r="D105" s="209">
        <v>2016</v>
      </c>
      <c r="E105" s="157">
        <f>C105</f>
        <v>469381</v>
      </c>
      <c r="F105" s="206"/>
    </row>
    <row r="106" spans="1:6" x14ac:dyDescent="0.25">
      <c r="A106" s="208" t="s">
        <v>287</v>
      </c>
      <c r="B106" s="209" t="s">
        <v>242</v>
      </c>
      <c r="C106" s="77">
        <v>1068101</v>
      </c>
      <c r="D106" s="209">
        <v>2017</v>
      </c>
      <c r="E106" s="157">
        <f>C106</f>
        <v>1068101</v>
      </c>
      <c r="F106" s="206"/>
    </row>
    <row r="107" spans="1:6" x14ac:dyDescent="0.25">
      <c r="A107" s="208" t="s">
        <v>287</v>
      </c>
      <c r="B107" s="209" t="s">
        <v>243</v>
      </c>
      <c r="C107" s="77">
        <v>1121680</v>
      </c>
      <c r="D107" s="209">
        <v>2018</v>
      </c>
      <c r="E107" s="157">
        <f>C107</f>
        <v>1121680</v>
      </c>
      <c r="F107" s="206"/>
    </row>
    <row r="108" spans="1:6" x14ac:dyDescent="0.25">
      <c r="A108" s="208" t="s">
        <v>287</v>
      </c>
      <c r="B108" s="209" t="s">
        <v>244</v>
      </c>
      <c r="C108" s="76">
        <v>1278364</v>
      </c>
      <c r="D108" s="209">
        <v>2019</v>
      </c>
      <c r="E108" s="157">
        <f>C108</f>
        <v>1278364</v>
      </c>
      <c r="F108" s="206"/>
    </row>
    <row r="109" spans="1:6" x14ac:dyDescent="0.25">
      <c r="A109" s="208" t="s">
        <v>287</v>
      </c>
      <c r="B109" s="209" t="s">
        <v>245</v>
      </c>
      <c r="C109" s="76">
        <v>0</v>
      </c>
      <c r="D109" s="210" t="s">
        <v>246</v>
      </c>
      <c r="E109" s="158">
        <f>C109</f>
        <v>0</v>
      </c>
      <c r="F109" s="206"/>
    </row>
    <row r="110" spans="1:6" x14ac:dyDescent="0.25">
      <c r="A110" s="208" t="s">
        <v>287</v>
      </c>
      <c r="B110" s="209" t="s">
        <v>267</v>
      </c>
      <c r="C110" s="76">
        <v>607264</v>
      </c>
      <c r="D110" s="245">
        <v>2020</v>
      </c>
      <c r="E110" s="252">
        <f>SUM(C110:C111)</f>
        <v>1308215</v>
      </c>
      <c r="F110" s="206"/>
    </row>
    <row r="111" spans="1:6" x14ac:dyDescent="0.25">
      <c r="A111" s="208" t="s">
        <v>288</v>
      </c>
      <c r="B111" s="209" t="s">
        <v>250</v>
      </c>
      <c r="C111" s="159">
        <v>700951</v>
      </c>
      <c r="D111" s="247"/>
      <c r="E111" s="253"/>
      <c r="F111" s="206"/>
    </row>
    <row r="112" spans="1:6" x14ac:dyDescent="0.25">
      <c r="A112" s="208" t="s">
        <v>288</v>
      </c>
      <c r="B112" s="209" t="s">
        <v>251</v>
      </c>
      <c r="C112" s="172">
        <v>244604</v>
      </c>
      <c r="D112" s="254">
        <v>2021</v>
      </c>
      <c r="E112" s="261">
        <f>SUM(C112:C115)</f>
        <v>1211480</v>
      </c>
      <c r="F112" s="206"/>
    </row>
    <row r="113" spans="1:6" x14ac:dyDescent="0.25">
      <c r="A113" s="208" t="s">
        <v>288</v>
      </c>
      <c r="B113" s="209" t="s">
        <v>252</v>
      </c>
      <c r="C113" s="172">
        <v>258346</v>
      </c>
      <c r="D113" s="254"/>
      <c r="E113" s="261"/>
      <c r="F113" s="206"/>
    </row>
    <row r="114" spans="1:6" x14ac:dyDescent="0.25">
      <c r="A114" s="208" t="s">
        <v>288</v>
      </c>
      <c r="B114" s="209" t="s">
        <v>253</v>
      </c>
      <c r="C114" s="172">
        <v>320184</v>
      </c>
      <c r="D114" s="254"/>
      <c r="E114" s="261"/>
    </row>
    <row r="115" spans="1:6" x14ac:dyDescent="0.25">
      <c r="A115" s="209" t="s">
        <v>288</v>
      </c>
      <c r="B115" s="212" t="s">
        <v>254</v>
      </c>
      <c r="C115" s="172">
        <v>388346</v>
      </c>
      <c r="D115" s="254"/>
      <c r="E115" s="261"/>
    </row>
    <row r="116" spans="1:6" x14ac:dyDescent="0.25">
      <c r="A116" s="209" t="s">
        <v>303</v>
      </c>
      <c r="B116" s="209" t="s">
        <v>308</v>
      </c>
      <c r="C116" s="172">
        <v>124644</v>
      </c>
      <c r="D116" s="245">
        <v>2022</v>
      </c>
      <c r="E116" s="252">
        <f>SUM(C116:C120)</f>
        <v>1680958</v>
      </c>
    </row>
    <row r="117" spans="1:6" x14ac:dyDescent="0.25">
      <c r="A117" s="209" t="s">
        <v>289</v>
      </c>
      <c r="B117" s="209" t="s">
        <v>257</v>
      </c>
      <c r="C117" s="172">
        <v>398652</v>
      </c>
      <c r="D117" s="246"/>
      <c r="E117" s="250"/>
    </row>
    <row r="118" spans="1:6" x14ac:dyDescent="0.25">
      <c r="A118" s="209" t="s">
        <v>289</v>
      </c>
      <c r="B118" s="209" t="s">
        <v>258</v>
      </c>
      <c r="C118" s="172">
        <v>421902</v>
      </c>
      <c r="D118" s="246"/>
      <c r="E118" s="250"/>
    </row>
    <row r="119" spans="1:6" x14ac:dyDescent="0.25">
      <c r="A119" s="209" t="s">
        <v>289</v>
      </c>
      <c r="B119" s="212" t="s">
        <v>259</v>
      </c>
      <c r="C119" s="172">
        <v>369249</v>
      </c>
      <c r="D119" s="246"/>
      <c r="E119" s="250"/>
    </row>
    <row r="120" spans="1:6" x14ac:dyDescent="0.25">
      <c r="A120" s="209" t="s">
        <v>289</v>
      </c>
      <c r="B120" s="209" t="s">
        <v>260</v>
      </c>
      <c r="C120" s="172">
        <v>366511</v>
      </c>
      <c r="D120" s="247"/>
      <c r="E120" s="253"/>
    </row>
    <row r="121" spans="1:6" x14ac:dyDescent="0.25">
      <c r="A121" s="209" t="s">
        <v>303</v>
      </c>
      <c r="B121" s="209" t="s">
        <v>304</v>
      </c>
      <c r="C121" s="172">
        <v>376267</v>
      </c>
      <c r="D121" s="254">
        <v>2023</v>
      </c>
      <c r="E121" s="248">
        <f>SUM(C121:C124)</f>
        <v>1784879</v>
      </c>
    </row>
    <row r="122" spans="1:6" x14ac:dyDescent="0.25">
      <c r="A122" s="209" t="s">
        <v>303</v>
      </c>
      <c r="B122" s="209" t="s">
        <v>305</v>
      </c>
      <c r="C122" s="172">
        <v>409773</v>
      </c>
      <c r="D122" s="254"/>
      <c r="E122" s="248"/>
    </row>
    <row r="123" spans="1:6" x14ac:dyDescent="0.25">
      <c r="A123" s="209" t="s">
        <v>303</v>
      </c>
      <c r="B123" s="209" t="s">
        <v>306</v>
      </c>
      <c r="C123" s="172">
        <v>475570</v>
      </c>
      <c r="D123" s="254"/>
      <c r="E123" s="248"/>
    </row>
    <row r="124" spans="1:6" x14ac:dyDescent="0.25">
      <c r="A124" s="212" t="s">
        <v>303</v>
      </c>
      <c r="B124" s="212" t="s">
        <v>307</v>
      </c>
      <c r="C124" s="183">
        <v>523269</v>
      </c>
      <c r="D124" s="254"/>
      <c r="E124" s="248"/>
    </row>
    <row r="125" spans="1:6" x14ac:dyDescent="0.25">
      <c r="A125" s="209" t="s">
        <v>344</v>
      </c>
      <c r="B125" s="209" t="s">
        <v>315</v>
      </c>
      <c r="C125" s="172">
        <v>548538</v>
      </c>
      <c r="D125" s="255">
        <v>2024</v>
      </c>
      <c r="E125" s="258">
        <f>SUM(C125:C128)</f>
        <v>1851192</v>
      </c>
      <c r="F125" s="205"/>
    </row>
    <row r="126" spans="1:6" x14ac:dyDescent="0.25">
      <c r="A126" s="209" t="s">
        <v>344</v>
      </c>
      <c r="B126" s="209" t="s">
        <v>316</v>
      </c>
      <c r="C126" s="172">
        <v>486276</v>
      </c>
      <c r="D126" s="256"/>
      <c r="E126" s="259"/>
    </row>
    <row r="127" spans="1:6" x14ac:dyDescent="0.25">
      <c r="A127" s="209" t="s">
        <v>344</v>
      </c>
      <c r="B127" s="209" t="s">
        <v>341</v>
      </c>
      <c r="C127" s="183">
        <v>397218</v>
      </c>
      <c r="D127" s="256"/>
      <c r="E127" s="259"/>
    </row>
    <row r="128" spans="1:6" x14ac:dyDescent="0.25">
      <c r="A128" s="208" t="s">
        <v>344</v>
      </c>
      <c r="B128" s="208" t="s">
        <v>342</v>
      </c>
      <c r="C128" s="172">
        <v>419160</v>
      </c>
      <c r="D128" s="257"/>
      <c r="E128" s="260"/>
    </row>
    <row r="129" spans="1:5" x14ac:dyDescent="0.25">
      <c r="A129" s="209" t="s">
        <v>362</v>
      </c>
      <c r="B129" s="209" t="s">
        <v>354</v>
      </c>
      <c r="C129" s="172">
        <v>380469</v>
      </c>
      <c r="D129" s="245">
        <v>2025</v>
      </c>
      <c r="E129" s="248">
        <f>SUM(C129:C132)</f>
        <v>1458709</v>
      </c>
    </row>
    <row r="130" spans="1:5" x14ac:dyDescent="0.25">
      <c r="A130" s="222" t="s">
        <v>362</v>
      </c>
      <c r="B130" s="209" t="s">
        <v>355</v>
      </c>
      <c r="C130" s="172">
        <v>336274</v>
      </c>
      <c r="D130" s="246"/>
      <c r="E130" s="248"/>
    </row>
    <row r="131" spans="1:5" x14ac:dyDescent="0.25">
      <c r="A131" s="227" t="s">
        <v>362</v>
      </c>
      <c r="B131" s="208" t="s">
        <v>369</v>
      </c>
      <c r="C131" s="172">
        <v>373843</v>
      </c>
      <c r="D131" s="246"/>
      <c r="E131" s="248"/>
    </row>
    <row r="132" spans="1:5" x14ac:dyDescent="0.25">
      <c r="A132" s="209" t="s">
        <v>362</v>
      </c>
      <c r="B132" s="209" t="s">
        <v>371</v>
      </c>
      <c r="C132" s="172">
        <v>368123</v>
      </c>
      <c r="D132" s="247"/>
      <c r="E132" s="248"/>
    </row>
    <row r="133" spans="1:5" ht="15.75" thickBot="1" x14ac:dyDescent="0.3">
      <c r="A133" s="216" t="s">
        <v>386</v>
      </c>
      <c r="B133" s="216" t="s">
        <v>380</v>
      </c>
      <c r="C133" s="193">
        <v>287760</v>
      </c>
      <c r="D133" s="228">
        <v>2026</v>
      </c>
      <c r="E133" s="225">
        <f>SUM(C133)</f>
        <v>287760</v>
      </c>
    </row>
    <row r="134" spans="1:5" ht="15.75" thickBot="1" x14ac:dyDescent="0.3">
      <c r="A134" s="185"/>
      <c r="B134" s="178"/>
      <c r="C134" s="178"/>
      <c r="D134" s="192" t="s">
        <v>368</v>
      </c>
      <c r="E134" s="244">
        <f>SUM(E105:E133)</f>
        <v>13520719</v>
      </c>
    </row>
    <row r="135" spans="1:5" x14ac:dyDescent="0.25">
      <c r="A135" s="162" t="s">
        <v>290</v>
      </c>
      <c r="C135" s="163"/>
      <c r="D135" s="164"/>
      <c r="E135" s="163"/>
    </row>
    <row r="136" spans="1:5" x14ac:dyDescent="0.25">
      <c r="A136" s="162" t="s">
        <v>367</v>
      </c>
      <c r="C136" s="163"/>
      <c r="D136" s="164"/>
      <c r="E136" s="163"/>
    </row>
    <row r="137" spans="1:5" x14ac:dyDescent="0.25">
      <c r="A137" s="161" t="s">
        <v>291</v>
      </c>
    </row>
    <row r="139" spans="1:5" ht="15.75" thickBot="1" x14ac:dyDescent="0.3">
      <c r="A139" s="23" t="s">
        <v>292</v>
      </c>
      <c r="D139" s="23"/>
    </row>
    <row r="140" spans="1:5" ht="26.25" thickBot="1" x14ac:dyDescent="0.3">
      <c r="A140" s="43"/>
      <c r="B140" s="43" t="s">
        <v>236</v>
      </c>
      <c r="C140" s="43" t="s">
        <v>237</v>
      </c>
      <c r="D140" s="136" t="s">
        <v>286</v>
      </c>
      <c r="E140" s="156" t="s">
        <v>293</v>
      </c>
    </row>
    <row r="141" spans="1:5" x14ac:dyDescent="0.25">
      <c r="A141" s="208" t="s">
        <v>329</v>
      </c>
      <c r="B141" s="209" t="s">
        <v>241</v>
      </c>
      <c r="C141" s="76">
        <v>147156</v>
      </c>
      <c r="D141" s="209">
        <v>2016</v>
      </c>
      <c r="E141" s="157">
        <f>C141</f>
        <v>147156</v>
      </c>
    </row>
    <row r="142" spans="1:5" x14ac:dyDescent="0.25">
      <c r="A142" s="209" t="s">
        <v>329</v>
      </c>
      <c r="B142" s="209" t="s">
        <v>242</v>
      </c>
      <c r="C142" s="77">
        <v>287032</v>
      </c>
      <c r="D142" s="209">
        <v>2017</v>
      </c>
      <c r="E142" s="157">
        <f>C142</f>
        <v>287032</v>
      </c>
    </row>
    <row r="143" spans="1:5" x14ac:dyDescent="0.25">
      <c r="A143" s="209" t="s">
        <v>329</v>
      </c>
      <c r="B143" s="209" t="s">
        <v>243</v>
      </c>
      <c r="C143" s="77">
        <v>349673</v>
      </c>
      <c r="D143" s="209">
        <v>2018</v>
      </c>
      <c r="E143" s="157">
        <f>C143</f>
        <v>349673</v>
      </c>
    </row>
    <row r="144" spans="1:5" x14ac:dyDescent="0.25">
      <c r="A144" s="208" t="s">
        <v>294</v>
      </c>
      <c r="B144" s="209" t="s">
        <v>244</v>
      </c>
      <c r="C144" s="76">
        <v>466130</v>
      </c>
      <c r="D144" s="209">
        <v>2019</v>
      </c>
      <c r="E144" s="157">
        <f>C144</f>
        <v>466130</v>
      </c>
    </row>
    <row r="145" spans="1:5" x14ac:dyDescent="0.25">
      <c r="A145" s="208" t="s">
        <v>294</v>
      </c>
      <c r="B145" s="209" t="s">
        <v>245</v>
      </c>
      <c r="C145" s="76">
        <v>0</v>
      </c>
      <c r="D145" s="210" t="s">
        <v>246</v>
      </c>
      <c r="E145" s="158">
        <f>C145</f>
        <v>0</v>
      </c>
    </row>
    <row r="146" spans="1:5" x14ac:dyDescent="0.25">
      <c r="A146" s="208" t="s">
        <v>294</v>
      </c>
      <c r="B146" s="209" t="s">
        <v>267</v>
      </c>
      <c r="C146" s="76">
        <v>164842</v>
      </c>
      <c r="D146" s="245">
        <v>2020</v>
      </c>
      <c r="E146" s="252">
        <f>SUM(C146:C147)</f>
        <v>362585</v>
      </c>
    </row>
    <row r="147" spans="1:5" x14ac:dyDescent="0.25">
      <c r="A147" s="208" t="s">
        <v>294</v>
      </c>
      <c r="B147" s="209" t="s">
        <v>250</v>
      </c>
      <c r="C147" s="159">
        <v>197743</v>
      </c>
      <c r="D147" s="247"/>
      <c r="E147" s="253"/>
    </row>
    <row r="148" spans="1:5" x14ac:dyDescent="0.25">
      <c r="A148" s="208" t="s">
        <v>295</v>
      </c>
      <c r="B148" s="209" t="s">
        <v>268</v>
      </c>
      <c r="C148" s="172">
        <v>333475</v>
      </c>
      <c r="D148" s="213">
        <v>2021</v>
      </c>
      <c r="E148" s="177">
        <f>C148</f>
        <v>333475</v>
      </c>
    </row>
    <row r="149" spans="1:5" x14ac:dyDescent="0.25">
      <c r="A149" s="209" t="s">
        <v>300</v>
      </c>
      <c r="B149" s="212" t="s">
        <v>330</v>
      </c>
      <c r="C149" s="183">
        <v>9079</v>
      </c>
      <c r="D149" s="245">
        <v>2022</v>
      </c>
      <c r="E149" s="252">
        <f>SUM(C149:C150)</f>
        <v>446231</v>
      </c>
    </row>
    <row r="150" spans="1:5" x14ac:dyDescent="0.25">
      <c r="A150" s="209" t="s">
        <v>300</v>
      </c>
      <c r="B150" s="212" t="s">
        <v>271</v>
      </c>
      <c r="C150" s="183">
        <v>437152</v>
      </c>
      <c r="D150" s="247"/>
      <c r="E150" s="253"/>
    </row>
    <row r="151" spans="1:5" x14ac:dyDescent="0.25">
      <c r="A151" s="209" t="s">
        <v>331</v>
      </c>
      <c r="B151" s="212" t="s">
        <v>332</v>
      </c>
      <c r="C151" s="183">
        <v>-67560</v>
      </c>
      <c r="D151" s="245">
        <v>2023</v>
      </c>
      <c r="E151" s="252">
        <f>SUM(C151:C152)</f>
        <v>332411</v>
      </c>
    </row>
    <row r="152" spans="1:5" x14ac:dyDescent="0.25">
      <c r="A152" s="212" t="s">
        <v>331</v>
      </c>
      <c r="B152" s="212" t="s">
        <v>311</v>
      </c>
      <c r="C152" s="183">
        <v>399971</v>
      </c>
      <c r="D152" s="246"/>
      <c r="E152" s="253"/>
    </row>
    <row r="153" spans="1:5" x14ac:dyDescent="0.25">
      <c r="A153" s="212" t="s">
        <v>365</v>
      </c>
      <c r="B153" s="212" t="s">
        <v>366</v>
      </c>
      <c r="C153" s="183">
        <v>288078</v>
      </c>
      <c r="D153" s="245">
        <v>2024</v>
      </c>
      <c r="E153" s="250">
        <f>SUM(C153:C154)</f>
        <v>631336</v>
      </c>
    </row>
    <row r="154" spans="1:5" ht="15.75" thickBot="1" x14ac:dyDescent="0.3">
      <c r="A154" s="216" t="s">
        <v>365</v>
      </c>
      <c r="B154" s="216" t="s">
        <v>325</v>
      </c>
      <c r="C154" s="193">
        <v>343258</v>
      </c>
      <c r="D154" s="249"/>
      <c r="E154" s="251"/>
    </row>
    <row r="155" spans="1:5" ht="15.75" thickBot="1" x14ac:dyDescent="0.3">
      <c r="A155" s="185"/>
      <c r="B155" s="178"/>
      <c r="C155" s="178"/>
      <c r="D155" s="192" t="s">
        <v>364</v>
      </c>
      <c r="E155" s="244">
        <f>SUM(E141:E154)</f>
        <v>3356029</v>
      </c>
    </row>
    <row r="156" spans="1:5" x14ac:dyDescent="0.25">
      <c r="A156" s="162" t="s">
        <v>296</v>
      </c>
    </row>
    <row r="157" spans="1:5" x14ac:dyDescent="0.25">
      <c r="A157" s="161" t="s">
        <v>297</v>
      </c>
    </row>
    <row r="158" spans="1:5" x14ac:dyDescent="0.25">
      <c r="A158" s="161" t="s">
        <v>298</v>
      </c>
    </row>
  </sheetData>
  <sheetProtection algorithmName="SHA-512" hashValue="OIyGRAZqC66zkKfay6yVFr5zDEW7wZhvJ7I2AT0XaN5oohEsE4UcVyEULTYhQbVJYxCnod0O/+2bBhWOauTKNg==" saltValue="kVr5z5MvQRGPa+X0aB32Tg==" spinCount="100000" sheet="1" objects="1" scenarios="1"/>
  <mergeCells count="62">
    <mergeCell ref="D41:D43"/>
    <mergeCell ref="E41:E43"/>
    <mergeCell ref="D68:D69"/>
    <mergeCell ref="E68:E69"/>
    <mergeCell ref="D95:D96"/>
    <mergeCell ref="E95:E96"/>
    <mergeCell ref="D54:D55"/>
    <mergeCell ref="E54:E55"/>
    <mergeCell ref="D58:D59"/>
    <mergeCell ref="E58:E59"/>
    <mergeCell ref="D60:D61"/>
    <mergeCell ref="E60:E61"/>
    <mergeCell ref="D62:D63"/>
    <mergeCell ref="E62:E63"/>
    <mergeCell ref="D64:D65"/>
    <mergeCell ref="E64:E65"/>
    <mergeCell ref="D13:D15"/>
    <mergeCell ref="E13:E15"/>
    <mergeCell ref="D17:D20"/>
    <mergeCell ref="E17:E20"/>
    <mergeCell ref="D21:D25"/>
    <mergeCell ref="E21:E25"/>
    <mergeCell ref="D26:D30"/>
    <mergeCell ref="E26:E30"/>
    <mergeCell ref="D31:D35"/>
    <mergeCell ref="E31:E35"/>
    <mergeCell ref="D36:D40"/>
    <mergeCell ref="E36:E40"/>
    <mergeCell ref="D66:D67"/>
    <mergeCell ref="E66:E67"/>
    <mergeCell ref="D82:D83"/>
    <mergeCell ref="E82:E83"/>
    <mergeCell ref="D84:D86"/>
    <mergeCell ref="E84:E86"/>
    <mergeCell ref="D87:D88"/>
    <mergeCell ref="E87:E88"/>
    <mergeCell ref="D89:D90"/>
    <mergeCell ref="E89:E90"/>
    <mergeCell ref="D91:D92"/>
    <mergeCell ref="E91:E92"/>
    <mergeCell ref="D93:D94"/>
    <mergeCell ref="E93:E94"/>
    <mergeCell ref="D110:D111"/>
    <mergeCell ref="E110:E111"/>
    <mergeCell ref="D112:D115"/>
    <mergeCell ref="E112:E115"/>
    <mergeCell ref="D116:D120"/>
    <mergeCell ref="E116:E120"/>
    <mergeCell ref="D121:D124"/>
    <mergeCell ref="E121:E124"/>
    <mergeCell ref="D125:D128"/>
    <mergeCell ref="E125:E128"/>
    <mergeCell ref="D129:D132"/>
    <mergeCell ref="E129:E132"/>
    <mergeCell ref="D153:D154"/>
    <mergeCell ref="E153:E154"/>
    <mergeCell ref="D146:D147"/>
    <mergeCell ref="E146:E147"/>
    <mergeCell ref="D149:D150"/>
    <mergeCell ref="E149:E150"/>
    <mergeCell ref="D151:D152"/>
    <mergeCell ref="E151:E15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Expenditures</vt:lpstr>
      <vt:lpstr>2. Program Funding</vt:lpstr>
      <vt:lpstr>3. SOMAH Program Admin</vt:lpstr>
      <vt:lpstr>4. SOMAH Marketing &amp; Outreach</vt:lpstr>
      <vt:lpstr>5. SOMAH Workforce Development</vt:lpstr>
      <vt:lpstr>6. SOMAH Technical Assistance</vt:lpstr>
      <vt:lpstr>7. Incentive Payments</vt:lpstr>
      <vt:lpstr>8. IOU Collections Details</vt:lpstr>
      <vt:lpstr>'2. Program Funding'!TotalAdminBudget</vt:lpstr>
      <vt:lpstr>'2. Program Funding'!TotalIncentiveBudget</vt:lpstr>
    </vt:vector>
  </TitlesOfParts>
  <Manager/>
  <Company>CCSE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Katrina Morton</dc:creator>
  <cp:keywords/>
  <dc:description/>
  <cp:lastModifiedBy>Luke Ballweber</cp:lastModifiedBy>
  <cp:revision/>
  <dcterms:created xsi:type="dcterms:W3CDTF">2014-07-08T17:28:09Z</dcterms:created>
  <dcterms:modified xsi:type="dcterms:W3CDTF">2026-07-28T17:13:56Z</dcterms:modified>
  <cp:category/>
  <cp:contentStatus/>
</cp:coreProperties>
</file>